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28380" windowHeight="11895" tabRatio="950" activeTab="8"/>
  </bookViews>
  <sheets>
    <sheet name="Stromverbrauch" sheetId="1" r:id="rId1"/>
    <sheet name="ewz.basis" sheetId="2" r:id="rId2"/>
    <sheet name="ewz.basis Diagramm" sheetId="3" r:id="rId3"/>
    <sheet name="ewz.ökopower" sheetId="4" r:id="rId4"/>
    <sheet name="ewz.ökopower Diagramm" sheetId="5" r:id="rId5"/>
    <sheet name="ewz.wassertop" sheetId="6" r:id="rId6"/>
    <sheet name="ewz.wassertop Diagramm" sheetId="7" r:id="rId7"/>
    <sheet name="ewz.solartop" sheetId="8" r:id="rId8"/>
    <sheet name="ewz.solartop Diagramm" sheetId="9" r:id="rId9"/>
    <sheet name="Kostenvergleich" sheetId="10" r:id="rId10"/>
    <sheet name="Strom sparen" sheetId="12" r:id="rId11"/>
    <sheet name="Einmalige Kosten" sheetId="13" r:id="rId12"/>
    <sheet name="Break-Even-Analyse" sheetId="14" r:id="rId13"/>
  </sheets>
  <externalReferences>
    <externalReference r:id="rId14"/>
    <externalReference r:id="rId15"/>
  </externalReferences>
  <definedNames>
    <definedName name="_xlnm._FilterDatabase" localSheetId="0" hidden="1">Stromverbrauch!$A$3:$D$3</definedName>
    <definedName name="L_Gerät">'[1]Daten zu Listen'!$E$89:$E$171</definedName>
  </definedNames>
  <calcPr calcId="145621"/>
</workbook>
</file>

<file path=xl/calcChain.xml><?xml version="1.0" encoding="utf-8"?>
<calcChain xmlns="http://schemas.openxmlformats.org/spreadsheetml/2006/main">
  <c r="G59" i="8" l="1"/>
  <c r="L58" i="8"/>
  <c r="F60" i="8" s="1"/>
  <c r="L57" i="8"/>
  <c r="E58" i="8" s="1"/>
  <c r="L56" i="8"/>
  <c r="D56" i="8"/>
  <c r="C56" i="8"/>
  <c r="F56" i="8" s="1"/>
  <c r="D55" i="8"/>
  <c r="C55" i="8"/>
  <c r="F55" i="8" s="1"/>
  <c r="F51" i="8"/>
  <c r="G50" i="8"/>
  <c r="L49" i="8"/>
  <c r="E51" i="8" s="1"/>
  <c r="L48" i="8"/>
  <c r="E49" i="8" s="1"/>
  <c r="L47" i="8"/>
  <c r="D47" i="8"/>
  <c r="C47" i="8"/>
  <c r="F47" i="8" s="1"/>
  <c r="D46" i="8"/>
  <c r="C46" i="8"/>
  <c r="F46" i="8" s="1"/>
  <c r="F42" i="8"/>
  <c r="E42" i="8"/>
  <c r="H42" i="8" s="1"/>
  <c r="M40" i="8"/>
  <c r="E40" i="8"/>
  <c r="H40" i="8" s="1"/>
  <c r="C40" i="8"/>
  <c r="M39" i="8"/>
  <c r="D39" i="8"/>
  <c r="C39" i="8"/>
  <c r="F39" i="8" s="1"/>
  <c r="M38" i="8"/>
  <c r="G38" i="8"/>
  <c r="D38" i="8"/>
  <c r="C38" i="8"/>
  <c r="F38" i="8" s="1"/>
  <c r="D37" i="8"/>
  <c r="C37" i="8"/>
  <c r="F37" i="8" s="1"/>
  <c r="H27" i="8"/>
  <c r="G27" i="8"/>
  <c r="E26" i="8"/>
  <c r="D26" i="8"/>
  <c r="C26" i="8"/>
  <c r="F26" i="8" s="1"/>
  <c r="H25" i="8"/>
  <c r="G25" i="8"/>
  <c r="E24" i="8"/>
  <c r="D24" i="8"/>
  <c r="C24" i="8"/>
  <c r="F24" i="8" s="1"/>
  <c r="H20" i="8"/>
  <c r="G20" i="8"/>
  <c r="E19" i="8"/>
  <c r="D19" i="8"/>
  <c r="C19" i="8"/>
  <c r="F19" i="8" s="1"/>
  <c r="H18" i="8"/>
  <c r="G18" i="8"/>
  <c r="E17" i="8"/>
  <c r="D17" i="8"/>
  <c r="C17" i="8"/>
  <c r="F17" i="8" s="1"/>
  <c r="H13" i="8"/>
  <c r="G13" i="8"/>
  <c r="E12" i="8"/>
  <c r="D12" i="8"/>
  <c r="C12" i="8"/>
  <c r="F12" i="8" s="1"/>
  <c r="H11" i="8"/>
  <c r="G11" i="8"/>
  <c r="E10" i="8"/>
  <c r="D10" i="8"/>
  <c r="C10" i="8"/>
  <c r="F60" i="6"/>
  <c r="L58" i="6"/>
  <c r="E60" i="6" s="1"/>
  <c r="L57" i="6"/>
  <c r="E58" i="6" s="1"/>
  <c r="L56" i="6"/>
  <c r="D56" i="6"/>
  <c r="C56" i="6"/>
  <c r="F56" i="6" s="1"/>
  <c r="D55" i="6"/>
  <c r="C55" i="6"/>
  <c r="F55" i="6" s="1"/>
  <c r="F51" i="6"/>
  <c r="L49" i="6"/>
  <c r="E51" i="6" s="1"/>
  <c r="L48" i="6"/>
  <c r="E49" i="6" s="1"/>
  <c r="L47" i="6"/>
  <c r="D47" i="6"/>
  <c r="C47" i="6"/>
  <c r="F47" i="6" s="1"/>
  <c r="D46" i="6"/>
  <c r="C46" i="6"/>
  <c r="F46" i="6" s="1"/>
  <c r="F42" i="6"/>
  <c r="E42" i="6"/>
  <c r="H42" i="6" s="1"/>
  <c r="M40" i="6"/>
  <c r="G40" i="6"/>
  <c r="E40" i="6"/>
  <c r="C40" i="6"/>
  <c r="M39" i="6"/>
  <c r="M38" i="6"/>
  <c r="G38" i="6"/>
  <c r="D38" i="6"/>
  <c r="C38" i="6"/>
  <c r="F38" i="6" s="1"/>
  <c r="D37" i="6"/>
  <c r="C37" i="6"/>
  <c r="F37" i="6" s="1"/>
  <c r="H27" i="6"/>
  <c r="G27" i="6"/>
  <c r="E26" i="6"/>
  <c r="D26" i="6"/>
  <c r="C26" i="6"/>
  <c r="F26" i="6" s="1"/>
  <c r="H25" i="6"/>
  <c r="G25" i="6"/>
  <c r="E24" i="6"/>
  <c r="D24" i="6"/>
  <c r="C24" i="6"/>
  <c r="F24" i="6" s="1"/>
  <c r="H20" i="6"/>
  <c r="G20" i="6"/>
  <c r="E19" i="6"/>
  <c r="D19" i="6"/>
  <c r="C19" i="6"/>
  <c r="F19" i="6" s="1"/>
  <c r="H18" i="6"/>
  <c r="G18" i="6"/>
  <c r="E17" i="6"/>
  <c r="D17" i="6"/>
  <c r="C17" i="6"/>
  <c r="F17" i="6" s="1"/>
  <c r="H13" i="6"/>
  <c r="G13" i="6"/>
  <c r="E12" i="6"/>
  <c r="D12" i="6"/>
  <c r="D39" i="6" s="1"/>
  <c r="D40" i="6" s="1"/>
  <c r="C12" i="6"/>
  <c r="C39" i="6" s="1"/>
  <c r="F39" i="6" s="1"/>
  <c r="H11" i="6"/>
  <c r="G11" i="6"/>
  <c r="E10" i="6"/>
  <c r="D10" i="6"/>
  <c r="C10" i="6"/>
  <c r="C96" i="4"/>
  <c r="L58" i="4"/>
  <c r="F60" i="4" s="1"/>
  <c r="L57" i="4"/>
  <c r="E58" i="4" s="1"/>
  <c r="L56" i="4"/>
  <c r="D56" i="4"/>
  <c r="C56" i="4"/>
  <c r="F56" i="4" s="1"/>
  <c r="F51" i="4"/>
  <c r="L49" i="4"/>
  <c r="E51" i="4" s="1"/>
  <c r="L48" i="4"/>
  <c r="E49" i="4" s="1"/>
  <c r="L47" i="4"/>
  <c r="D47" i="4"/>
  <c r="C47" i="4"/>
  <c r="F47" i="4" s="1"/>
  <c r="F42" i="4"/>
  <c r="E42" i="4"/>
  <c r="H42" i="4" s="1"/>
  <c r="D41" i="4"/>
  <c r="M40" i="4"/>
  <c r="G40" i="4"/>
  <c r="E40" i="4"/>
  <c r="C40" i="4"/>
  <c r="F40" i="4" s="1"/>
  <c r="M39" i="4"/>
  <c r="M38" i="4"/>
  <c r="G38" i="4"/>
  <c r="D38" i="4"/>
  <c r="C38" i="4"/>
  <c r="F38" i="4" s="1"/>
  <c r="F27" i="4"/>
  <c r="E27" i="4"/>
  <c r="H27" i="4" s="1"/>
  <c r="E26" i="4"/>
  <c r="D26" i="4"/>
  <c r="D57" i="4" s="1"/>
  <c r="C26" i="4"/>
  <c r="C57" i="4" s="1"/>
  <c r="F57" i="4" s="1"/>
  <c r="F25" i="4"/>
  <c r="E25" i="4"/>
  <c r="H25" i="4" s="1"/>
  <c r="E24" i="4"/>
  <c r="D24" i="4"/>
  <c r="D55" i="4" s="1"/>
  <c r="C24" i="4"/>
  <c r="C55" i="4" s="1"/>
  <c r="F20" i="4"/>
  <c r="E20" i="4"/>
  <c r="H20" i="4" s="1"/>
  <c r="E19" i="4"/>
  <c r="D19" i="4"/>
  <c r="D48" i="4" s="1"/>
  <c r="C19" i="4"/>
  <c r="C48" i="4" s="1"/>
  <c r="F48" i="4" s="1"/>
  <c r="F18" i="4"/>
  <c r="E18" i="4"/>
  <c r="H18" i="4" s="1"/>
  <c r="E17" i="4"/>
  <c r="D17" i="4"/>
  <c r="D46" i="4" s="1"/>
  <c r="C17" i="4"/>
  <c r="C46" i="4" s="1"/>
  <c r="F13" i="4"/>
  <c r="E13" i="4"/>
  <c r="H13" i="4" s="1"/>
  <c r="E12" i="4"/>
  <c r="D12" i="4"/>
  <c r="D39" i="4" s="1"/>
  <c r="C12" i="4"/>
  <c r="C39" i="4" s="1"/>
  <c r="F39" i="4" s="1"/>
  <c r="F11" i="4"/>
  <c r="E11" i="4"/>
  <c r="H11" i="4" s="1"/>
  <c r="E10" i="4"/>
  <c r="D10" i="4"/>
  <c r="D37" i="4" s="1"/>
  <c r="C10" i="4"/>
  <c r="E59" i="4" s="1"/>
  <c r="L58" i="2"/>
  <c r="F60" i="2" s="1"/>
  <c r="L57" i="2"/>
  <c r="E57" i="2"/>
  <c r="D57" i="2"/>
  <c r="D58" i="2" s="1"/>
  <c r="C57" i="2"/>
  <c r="C58" i="2" s="1"/>
  <c r="F58" i="2" s="1"/>
  <c r="L56" i="2"/>
  <c r="D55" i="2"/>
  <c r="D56" i="2" s="1"/>
  <c r="C55" i="2"/>
  <c r="C56" i="2" s="1"/>
  <c r="F51" i="2"/>
  <c r="L49" i="2"/>
  <c r="E50" i="2" s="1"/>
  <c r="L48" i="2"/>
  <c r="E48" i="2"/>
  <c r="D48" i="2"/>
  <c r="D49" i="2" s="1"/>
  <c r="C48" i="2"/>
  <c r="C49" i="2" s="1"/>
  <c r="F49" i="2" s="1"/>
  <c r="L47" i="2"/>
  <c r="D46" i="2"/>
  <c r="D47" i="2" s="1"/>
  <c r="C46" i="2"/>
  <c r="C47" i="2" s="1"/>
  <c r="F42" i="2"/>
  <c r="E41" i="2"/>
  <c r="H41" i="2" s="1"/>
  <c r="M40" i="2"/>
  <c r="M39" i="2"/>
  <c r="E39" i="2"/>
  <c r="C39" i="2"/>
  <c r="C40" i="2" s="1"/>
  <c r="M38" i="2"/>
  <c r="G38" i="2"/>
  <c r="D37" i="2"/>
  <c r="D38" i="2" s="1"/>
  <c r="C37" i="2"/>
  <c r="C38" i="2" s="1"/>
  <c r="D27" i="2"/>
  <c r="C27" i="2"/>
  <c r="F27" i="2" s="1"/>
  <c r="F26" i="2"/>
  <c r="D25" i="2"/>
  <c r="C25" i="2"/>
  <c r="F25" i="2" s="1"/>
  <c r="F24" i="2"/>
  <c r="D20" i="2"/>
  <c r="C20" i="2"/>
  <c r="F20" i="2" s="1"/>
  <c r="F19" i="2"/>
  <c r="D18" i="2"/>
  <c r="C18" i="2"/>
  <c r="F18" i="2" s="1"/>
  <c r="F17" i="2"/>
  <c r="D13" i="2"/>
  <c r="D39" i="2" s="1"/>
  <c r="D40" i="2" s="1"/>
  <c r="C13" i="2"/>
  <c r="F13" i="2" s="1"/>
  <c r="F12" i="2"/>
  <c r="D11" i="2"/>
  <c r="C11" i="2"/>
  <c r="E60" i="2" s="1"/>
  <c r="F10" i="2"/>
  <c r="H60" i="2" l="1"/>
  <c r="G60" i="2"/>
  <c r="F38" i="2"/>
  <c r="E38" i="2"/>
  <c r="F47" i="2"/>
  <c r="E47" i="2"/>
  <c r="H50" i="2"/>
  <c r="G50" i="2"/>
  <c r="F56" i="2"/>
  <c r="E56" i="2"/>
  <c r="H59" i="4"/>
  <c r="G59" i="4"/>
  <c r="F46" i="4"/>
  <c r="E46" i="4"/>
  <c r="F55" i="4"/>
  <c r="E55" i="4"/>
  <c r="H51" i="4"/>
  <c r="G51" i="4"/>
  <c r="E11" i="2"/>
  <c r="F11" i="2"/>
  <c r="E13" i="2"/>
  <c r="E18" i="2"/>
  <c r="E20" i="2"/>
  <c r="E25" i="2"/>
  <c r="E27" i="2"/>
  <c r="E37" i="2"/>
  <c r="F37" i="2"/>
  <c r="F39" i="2"/>
  <c r="H39" i="2" s="1"/>
  <c r="G39" i="2"/>
  <c r="G41" i="2"/>
  <c r="E42" i="2"/>
  <c r="E46" i="2"/>
  <c r="F46" i="2"/>
  <c r="F48" i="2"/>
  <c r="H48" i="2" s="1"/>
  <c r="G48" i="2"/>
  <c r="E49" i="2"/>
  <c r="H49" i="2" s="1"/>
  <c r="E51" i="2"/>
  <c r="E55" i="2"/>
  <c r="F55" i="2"/>
  <c r="F57" i="2"/>
  <c r="H57" i="2" s="1"/>
  <c r="G57" i="2"/>
  <c r="E58" i="2"/>
  <c r="H58" i="2" s="1"/>
  <c r="E59" i="2"/>
  <c r="F10" i="4"/>
  <c r="H10" i="4" s="1"/>
  <c r="G10" i="4"/>
  <c r="G11" i="4"/>
  <c r="F12" i="4"/>
  <c r="H12" i="4" s="1"/>
  <c r="G12" i="4"/>
  <c r="G13" i="4"/>
  <c r="F17" i="4"/>
  <c r="H17" i="4" s="1"/>
  <c r="G17" i="4"/>
  <c r="G18" i="4"/>
  <c r="F19" i="4"/>
  <c r="H19" i="4" s="1"/>
  <c r="G19" i="4"/>
  <c r="G20" i="4"/>
  <c r="F24" i="4"/>
  <c r="H24" i="4" s="1"/>
  <c r="G24" i="4"/>
  <c r="G25" i="4"/>
  <c r="F26" i="4"/>
  <c r="H26" i="4" s="1"/>
  <c r="G26" i="4"/>
  <c r="G27" i="4"/>
  <c r="C37" i="4"/>
  <c r="E38" i="4"/>
  <c r="H38" i="4" s="1"/>
  <c r="E39" i="4"/>
  <c r="E41" i="4"/>
  <c r="G42" i="4"/>
  <c r="E47" i="4"/>
  <c r="E48" i="4"/>
  <c r="C49" i="4"/>
  <c r="D49" i="4"/>
  <c r="E50" i="4"/>
  <c r="E56" i="4"/>
  <c r="E57" i="4"/>
  <c r="C58" i="4"/>
  <c r="D58" i="4"/>
  <c r="E60" i="4"/>
  <c r="E57" i="6"/>
  <c r="E48" i="6"/>
  <c r="E39" i="6"/>
  <c r="F10" i="6"/>
  <c r="H10" i="6" s="1"/>
  <c r="G10" i="6"/>
  <c r="F12" i="6"/>
  <c r="H12" i="6" s="1"/>
  <c r="H17" i="6"/>
  <c r="H19" i="6"/>
  <c r="H24" i="6"/>
  <c r="H26" i="6"/>
  <c r="C103" i="6"/>
  <c r="C76" i="6"/>
  <c r="F40" i="6"/>
  <c r="C105" i="6" s="1"/>
  <c r="H40" i="6"/>
  <c r="H51" i="6"/>
  <c r="G51" i="6"/>
  <c r="H60" i="6"/>
  <c r="G60" i="6"/>
  <c r="H12" i="8"/>
  <c r="H17" i="8"/>
  <c r="H19" i="8"/>
  <c r="H24" i="8"/>
  <c r="H26" i="8"/>
  <c r="C103" i="8"/>
  <c r="C76" i="8"/>
  <c r="G17" i="6"/>
  <c r="G19" i="6"/>
  <c r="G24" i="6"/>
  <c r="G26" i="6"/>
  <c r="E37" i="6"/>
  <c r="E38" i="6"/>
  <c r="G42" i="6"/>
  <c r="E46" i="6"/>
  <c r="E47" i="6"/>
  <c r="C49" i="6"/>
  <c r="D49" i="6"/>
  <c r="D48" i="6" s="1"/>
  <c r="E55" i="6"/>
  <c r="E56" i="6"/>
  <c r="C58" i="6"/>
  <c r="D58" i="6"/>
  <c r="D57" i="6" s="1"/>
  <c r="E57" i="8"/>
  <c r="E48" i="8"/>
  <c r="F10" i="8"/>
  <c r="H10" i="8" s="1"/>
  <c r="G10" i="8"/>
  <c r="G12" i="8"/>
  <c r="G17" i="8"/>
  <c r="G19" i="8"/>
  <c r="G24" i="8"/>
  <c r="G26" i="8"/>
  <c r="E37" i="8"/>
  <c r="E38" i="8"/>
  <c r="E39" i="8"/>
  <c r="G42" i="8"/>
  <c r="E46" i="8"/>
  <c r="E47" i="8"/>
  <c r="H51" i="8"/>
  <c r="G51" i="8"/>
  <c r="C49" i="8"/>
  <c r="D49" i="8"/>
  <c r="D48" i="8" s="1"/>
  <c r="E55" i="8"/>
  <c r="E56" i="8"/>
  <c r="C58" i="8"/>
  <c r="D58" i="8"/>
  <c r="D57" i="8" s="1"/>
  <c r="E60" i="8"/>
  <c r="H60" i="8" l="1"/>
  <c r="G60" i="8"/>
  <c r="F58" i="8"/>
  <c r="C57" i="8"/>
  <c r="F57" i="8" s="1"/>
  <c r="E114" i="8"/>
  <c r="E87" i="8"/>
  <c r="H56" i="8"/>
  <c r="G56" i="8"/>
  <c r="E112" i="8"/>
  <c r="E85" i="8"/>
  <c r="H55" i="8"/>
  <c r="G55" i="8"/>
  <c r="F49" i="8"/>
  <c r="C48" i="8"/>
  <c r="F48" i="8" s="1"/>
  <c r="D114" i="8"/>
  <c r="D87" i="8"/>
  <c r="H47" i="8"/>
  <c r="G47" i="8"/>
  <c r="D112" i="8"/>
  <c r="D85" i="8"/>
  <c r="H46" i="8"/>
  <c r="G46" i="8"/>
  <c r="H39" i="8"/>
  <c r="G39" i="8"/>
  <c r="C114" i="8"/>
  <c r="C87" i="8"/>
  <c r="H38" i="8"/>
  <c r="C112" i="8"/>
  <c r="C85" i="8"/>
  <c r="H37" i="8"/>
  <c r="G37" i="8"/>
  <c r="H48" i="8"/>
  <c r="G48" i="8"/>
  <c r="H57" i="8"/>
  <c r="G57" i="8"/>
  <c r="F58" i="6"/>
  <c r="C57" i="6"/>
  <c r="F57" i="6" s="1"/>
  <c r="E114" i="6"/>
  <c r="E87" i="6"/>
  <c r="H56" i="6"/>
  <c r="G56" i="6"/>
  <c r="E112" i="6"/>
  <c r="E85" i="6"/>
  <c r="H55" i="6"/>
  <c r="G55" i="6"/>
  <c r="F49" i="6"/>
  <c r="C48" i="6"/>
  <c r="F48" i="6" s="1"/>
  <c r="D114" i="6"/>
  <c r="D87" i="6"/>
  <c r="H47" i="6"/>
  <c r="G47" i="6"/>
  <c r="D112" i="6"/>
  <c r="D85" i="6"/>
  <c r="H46" i="6"/>
  <c r="G46" i="6"/>
  <c r="C114" i="6"/>
  <c r="C87" i="6"/>
  <c r="H38" i="6"/>
  <c r="C112" i="6"/>
  <c r="C85" i="6"/>
  <c r="H37" i="6"/>
  <c r="G37" i="6"/>
  <c r="C78" i="8"/>
  <c r="C105" i="8"/>
  <c r="C78" i="6"/>
  <c r="G12" i="6"/>
  <c r="H39" i="6"/>
  <c r="G39" i="6"/>
  <c r="H48" i="6"/>
  <c r="G48" i="6"/>
  <c r="H57" i="6"/>
  <c r="G57" i="6"/>
  <c r="H60" i="4"/>
  <c r="G60" i="4"/>
  <c r="F58" i="4"/>
  <c r="H57" i="4"/>
  <c r="G57" i="4"/>
  <c r="E114" i="4"/>
  <c r="E87" i="4"/>
  <c r="H56" i="4"/>
  <c r="G56" i="4"/>
  <c r="H50" i="4"/>
  <c r="G50" i="4"/>
  <c r="F49" i="4"/>
  <c r="H48" i="4"/>
  <c r="G48" i="4"/>
  <c r="D114" i="4"/>
  <c r="D87" i="4"/>
  <c r="H47" i="4"/>
  <c r="G47" i="4"/>
  <c r="H41" i="4"/>
  <c r="G41" i="4"/>
  <c r="H39" i="4"/>
  <c r="G39" i="4"/>
  <c r="F37" i="4"/>
  <c r="E37" i="4"/>
  <c r="H59" i="2"/>
  <c r="G59" i="2"/>
  <c r="E103" i="2"/>
  <c r="E76" i="2"/>
  <c r="E112" i="2"/>
  <c r="E121" i="2" s="1"/>
  <c r="E85" i="2"/>
  <c r="E94" i="2" s="1"/>
  <c r="H55" i="2"/>
  <c r="G55" i="2"/>
  <c r="H51" i="2"/>
  <c r="G51" i="2"/>
  <c r="D103" i="2"/>
  <c r="D76" i="2"/>
  <c r="D112" i="2"/>
  <c r="D121" i="2" s="1"/>
  <c r="D85" i="2"/>
  <c r="D94" i="2" s="1"/>
  <c r="H46" i="2"/>
  <c r="G46" i="2"/>
  <c r="H42" i="2"/>
  <c r="G42" i="2"/>
  <c r="C103" i="2"/>
  <c r="F103" i="2" s="1"/>
  <c r="C76" i="2"/>
  <c r="F76" i="2" s="1"/>
  <c r="C112" i="2"/>
  <c r="C85" i="2"/>
  <c r="H37" i="2"/>
  <c r="G37" i="2"/>
  <c r="H27" i="2"/>
  <c r="G27" i="2"/>
  <c r="E26" i="2"/>
  <c r="H25" i="2"/>
  <c r="G25" i="2"/>
  <c r="E24" i="2"/>
  <c r="H20" i="2"/>
  <c r="G20" i="2"/>
  <c r="E19" i="2"/>
  <c r="H18" i="2"/>
  <c r="G18" i="2"/>
  <c r="E17" i="2"/>
  <c r="H13" i="2"/>
  <c r="G13" i="2"/>
  <c r="E12" i="2"/>
  <c r="H11" i="2"/>
  <c r="G11" i="2"/>
  <c r="E10" i="2"/>
  <c r="E112" i="4"/>
  <c r="E85" i="4"/>
  <c r="H55" i="4"/>
  <c r="G55" i="4"/>
  <c r="E103" i="4"/>
  <c r="E76" i="4"/>
  <c r="D112" i="4"/>
  <c r="D85" i="4"/>
  <c r="H46" i="4"/>
  <c r="G46" i="4"/>
  <c r="D103" i="4"/>
  <c r="D76" i="4"/>
  <c r="G58" i="2"/>
  <c r="E114" i="2"/>
  <c r="E87" i="2"/>
  <c r="H56" i="2"/>
  <c r="G56" i="2"/>
  <c r="E105" i="2"/>
  <c r="E78" i="2"/>
  <c r="G49" i="2"/>
  <c r="D114" i="2"/>
  <c r="D87" i="2"/>
  <c r="H47" i="2"/>
  <c r="G47" i="2"/>
  <c r="D105" i="2"/>
  <c r="D78" i="2"/>
  <c r="C114" i="2"/>
  <c r="C87" i="2"/>
  <c r="H38" i="2"/>
  <c r="C105" i="2"/>
  <c r="F105" i="2" s="1"/>
  <c r="C78" i="2"/>
  <c r="F78" i="2" s="1"/>
  <c r="C96" i="2" l="1"/>
  <c r="F87" i="2"/>
  <c r="C123" i="2"/>
  <c r="F114" i="2"/>
  <c r="D96" i="2"/>
  <c r="D123" i="2"/>
  <c r="E96" i="2"/>
  <c r="E123" i="2"/>
  <c r="D94" i="4"/>
  <c r="D121" i="4"/>
  <c r="E94" i="4"/>
  <c r="E121" i="4"/>
  <c r="H10" i="2"/>
  <c r="G10" i="2"/>
  <c r="H12" i="2"/>
  <c r="G12" i="2"/>
  <c r="H17" i="2"/>
  <c r="G17" i="2"/>
  <c r="H19" i="2"/>
  <c r="G19" i="2"/>
  <c r="H24" i="2"/>
  <c r="G24" i="2"/>
  <c r="H26" i="2"/>
  <c r="G26" i="2"/>
  <c r="C94" i="2"/>
  <c r="F94" i="2" s="1"/>
  <c r="F85" i="2"/>
  <c r="C121" i="2"/>
  <c r="F121" i="2" s="1"/>
  <c r="F112" i="2"/>
  <c r="C112" i="4"/>
  <c r="C85" i="4"/>
  <c r="H37" i="4"/>
  <c r="G37" i="4"/>
  <c r="C103" i="4"/>
  <c r="F103" i="4" s="1"/>
  <c r="C76" i="4"/>
  <c r="F76" i="4" s="1"/>
  <c r="F87" i="4"/>
  <c r="F114" i="4"/>
  <c r="G49" i="4"/>
  <c r="D105" i="4"/>
  <c r="D78" i="4"/>
  <c r="H49" i="4"/>
  <c r="G58" i="4"/>
  <c r="E105" i="4"/>
  <c r="E123" i="4" s="1"/>
  <c r="E78" i="4"/>
  <c r="E96" i="4" s="1"/>
  <c r="H58" i="4"/>
  <c r="C94" i="6"/>
  <c r="F85" i="6"/>
  <c r="C121" i="6"/>
  <c r="F112" i="6"/>
  <c r="C96" i="6"/>
  <c r="F87" i="6"/>
  <c r="C123" i="6"/>
  <c r="F114" i="6"/>
  <c r="D103" i="6"/>
  <c r="D76" i="6"/>
  <c r="D105" i="6"/>
  <c r="D78" i="6"/>
  <c r="F78" i="6" s="1"/>
  <c r="H49" i="6"/>
  <c r="G49" i="6"/>
  <c r="E103" i="6"/>
  <c r="E121" i="6" s="1"/>
  <c r="E76" i="6"/>
  <c r="E94" i="6" s="1"/>
  <c r="E105" i="6"/>
  <c r="E123" i="6" s="1"/>
  <c r="E78" i="6"/>
  <c r="E96" i="6" s="1"/>
  <c r="H58" i="6"/>
  <c r="G58" i="6"/>
  <c r="C94" i="8"/>
  <c r="F85" i="8"/>
  <c r="C121" i="8"/>
  <c r="F112" i="8"/>
  <c r="C96" i="8"/>
  <c r="F87" i="8"/>
  <c r="C123" i="8"/>
  <c r="F114" i="8"/>
  <c r="D103" i="8"/>
  <c r="D76" i="8"/>
  <c r="D105" i="8"/>
  <c r="F105" i="8" s="1"/>
  <c r="D78" i="8"/>
  <c r="F78" i="8" s="1"/>
  <c r="H49" i="8"/>
  <c r="G49" i="8"/>
  <c r="E103" i="8"/>
  <c r="E121" i="8" s="1"/>
  <c r="E76" i="8"/>
  <c r="E94" i="8" s="1"/>
  <c r="E105" i="8"/>
  <c r="E123" i="8" s="1"/>
  <c r="E78" i="8"/>
  <c r="E96" i="8" s="1"/>
  <c r="H58" i="8"/>
  <c r="G58" i="8"/>
  <c r="F76" i="8" l="1"/>
  <c r="F103" i="8"/>
  <c r="D123" i="8"/>
  <c r="D96" i="8"/>
  <c r="D121" i="8"/>
  <c r="D94" i="8"/>
  <c r="F123" i="8"/>
  <c r="F96" i="8"/>
  <c r="F121" i="8"/>
  <c r="F94" i="8"/>
  <c r="F105" i="6"/>
  <c r="F76" i="6"/>
  <c r="F103" i="6"/>
  <c r="D123" i="6"/>
  <c r="D96" i="6"/>
  <c r="D121" i="6"/>
  <c r="D94" i="6"/>
  <c r="F123" i="6"/>
  <c r="F96" i="6"/>
  <c r="F121" i="6"/>
  <c r="F94" i="6"/>
  <c r="F78" i="4"/>
  <c r="F105" i="4"/>
  <c r="D123" i="4"/>
  <c r="F123" i="4" s="1"/>
  <c r="D96" i="4"/>
  <c r="F96" i="4" s="1"/>
  <c r="C94" i="4"/>
  <c r="F94" i="4" s="1"/>
  <c r="F85" i="4"/>
  <c r="C121" i="4"/>
  <c r="F121" i="4" s="1"/>
  <c r="F112" i="4"/>
  <c r="F123" i="2"/>
  <c r="F96" i="2"/>
</calcChain>
</file>

<file path=xl/comments1.xml><?xml version="1.0" encoding="utf-8"?>
<comments xmlns="http://schemas.openxmlformats.org/spreadsheetml/2006/main">
  <authors>
    <author>Sousa Ines</author>
  </authors>
  <commentList>
    <comment ref="E35" authorId="0">
      <text>
        <r>
          <rPr>
            <b/>
            <sz val="8"/>
            <color indexed="81"/>
            <rFont val="Tahoma"/>
            <charset val="1"/>
          </rPr>
          <t>Sousa Ines:</t>
        </r>
        <r>
          <rPr>
            <sz val="8"/>
            <color indexed="81"/>
            <rFont val="Tahoma"/>
            <charset val="1"/>
          </rPr>
          <t xml:space="preserve">
Während der Bürozeit 8:00 - 17:00 sind alle Geräte im Dauerbetrieb, da alle arbeiten.</t>
        </r>
      </text>
    </comment>
  </commentList>
</comments>
</file>

<file path=xl/comments2.xml><?xml version="1.0" encoding="utf-8"?>
<comments xmlns="http://schemas.openxmlformats.org/spreadsheetml/2006/main">
  <authors>
    <author>Sousa Ines</author>
  </authors>
  <commentList>
    <comment ref="E35" authorId="0">
      <text>
        <r>
          <rPr>
            <b/>
            <sz val="8"/>
            <color indexed="81"/>
            <rFont val="Tahoma"/>
            <charset val="1"/>
          </rPr>
          <t>Sousa Ines:</t>
        </r>
        <r>
          <rPr>
            <sz val="8"/>
            <color indexed="81"/>
            <rFont val="Tahoma"/>
            <charset val="1"/>
          </rPr>
          <t xml:space="preserve">
Während der Bürozeit 8:00 - 17:00 sind alle Geräte im Dauerbetrieb, da alle arbeiten.</t>
        </r>
      </text>
    </comment>
  </commentList>
</comments>
</file>

<file path=xl/comments3.xml><?xml version="1.0" encoding="utf-8"?>
<comments xmlns="http://schemas.openxmlformats.org/spreadsheetml/2006/main">
  <authors>
    <author>Sousa Ines</author>
  </authors>
  <commentList>
    <comment ref="E35" authorId="0">
      <text>
        <r>
          <rPr>
            <b/>
            <sz val="8"/>
            <color indexed="81"/>
            <rFont val="Tahoma"/>
            <charset val="1"/>
          </rPr>
          <t>Sousa Ines:</t>
        </r>
        <r>
          <rPr>
            <sz val="8"/>
            <color indexed="81"/>
            <rFont val="Tahoma"/>
            <charset val="1"/>
          </rPr>
          <t xml:space="preserve">
Während der Bürozeit 8:00 - 17:00 sind alle Geräte im Dauerbetrieb, da alle arbeiten.</t>
        </r>
      </text>
    </comment>
  </commentList>
</comments>
</file>

<file path=xl/comments4.xml><?xml version="1.0" encoding="utf-8"?>
<comments xmlns="http://schemas.openxmlformats.org/spreadsheetml/2006/main">
  <authors>
    <author>Sousa Ines</author>
  </authors>
  <commentList>
    <comment ref="E35" authorId="0">
      <text>
        <r>
          <rPr>
            <b/>
            <sz val="8"/>
            <color indexed="81"/>
            <rFont val="Tahoma"/>
            <charset val="1"/>
          </rPr>
          <t>Sousa Ines:</t>
        </r>
        <r>
          <rPr>
            <sz val="8"/>
            <color indexed="81"/>
            <rFont val="Tahoma"/>
            <charset val="1"/>
          </rPr>
          <t xml:space="preserve">
Während der Bürozeit 8:00 - 17:00 sind alle Geräte im Dauerbetrieb, da alle arbeiten.</t>
        </r>
      </text>
    </comment>
  </commentList>
</comments>
</file>

<file path=xl/sharedStrings.xml><?xml version="1.0" encoding="utf-8"?>
<sst xmlns="http://schemas.openxmlformats.org/spreadsheetml/2006/main" count="676" uniqueCount="86">
  <si>
    <t>Hardware Liste / Stromverbrauch</t>
  </si>
  <si>
    <t>Position</t>
  </si>
  <si>
    <t>Produktname</t>
  </si>
  <si>
    <t>Geräte-Typ</t>
  </si>
  <si>
    <t>Anzahl (im Einsatz)</t>
  </si>
  <si>
    <t>SyncMaster B2440H</t>
  </si>
  <si>
    <t>Monitor</t>
  </si>
  <si>
    <t>HP Smart Client t510</t>
  </si>
  <si>
    <t>PC (ThinClient)</t>
  </si>
  <si>
    <t>HP Smart Client t5565z</t>
  </si>
  <si>
    <t>Samsung SyncMaster S24C450MW</t>
  </si>
  <si>
    <t>HP Zero Client t310</t>
  </si>
  <si>
    <t>PC (Zero-Client)</t>
  </si>
  <si>
    <t>Samsung SyncMaster S24A450MW</t>
  </si>
  <si>
    <t>Samsung SyncMaster 2494HM</t>
  </si>
  <si>
    <t>HP Compaq dc7800 USDT</t>
  </si>
  <si>
    <t>PC (Desktop)</t>
  </si>
  <si>
    <t>HP Compaq Elite dc8000 USDT</t>
  </si>
  <si>
    <t>Samsung SyncMaster S24C450KMWV</t>
  </si>
  <si>
    <t>HP EliteDesk 800</t>
  </si>
  <si>
    <t>Samsung SyncMaster 2243BW</t>
  </si>
  <si>
    <t>Samsung Syncmaster 910TM</t>
  </si>
  <si>
    <t>HP Compaq dc7900 USDT</t>
  </si>
  <si>
    <t>Samsung SyncMaster 191T</t>
  </si>
  <si>
    <t>Samsung SyncMaster 245T</t>
  </si>
  <si>
    <t>HP Compaq dc7800 SFF</t>
  </si>
  <si>
    <t>Samsung SyncMastedr S23C650D</t>
  </si>
  <si>
    <t>Samsung SyncMaster S24C650</t>
  </si>
  <si>
    <t>Samsung SyncMaster 943T</t>
  </si>
  <si>
    <t>HP EliteDesk 800 G1</t>
  </si>
  <si>
    <t>Samsung SyncMaster 244T</t>
  </si>
  <si>
    <t>HP Smart Client t5745</t>
  </si>
  <si>
    <t>HP Compaq dc7600</t>
  </si>
  <si>
    <t>Messungen - ewz.basis</t>
  </si>
  <si>
    <t>8:00 - 17:00</t>
  </si>
  <si>
    <t>9h Hochtarif</t>
  </si>
  <si>
    <t>17:00 - 8:00</t>
  </si>
  <si>
    <t>8h Hochtarif + 7h Niedertarif</t>
  </si>
  <si>
    <t>Niedertarif</t>
  </si>
  <si>
    <t>8h</t>
  </si>
  <si>
    <t>Hochtarif</t>
  </si>
  <si>
    <t>16h</t>
  </si>
  <si>
    <t>Kosten: Hochtarif (06:00 - 22:00 Uhr)</t>
  </si>
  <si>
    <t>Kosten: Niedertarif (22:00 - 6:00 Uhr)</t>
  </si>
  <si>
    <t>Kosten: Bürozeit (8:00 - 17:00 Uhr)</t>
  </si>
  <si>
    <t>Kosten: (17:00 - 8:00 Uhr)</t>
  </si>
  <si>
    <t>Kosten: 6 Monate (184 Tage)</t>
  </si>
  <si>
    <t>Kosten: 1 Jahr (365 Tage)</t>
  </si>
  <si>
    <t>Dauerbetrieb</t>
  </si>
  <si>
    <t>Abgeschaltet (am Strom)</t>
  </si>
  <si>
    <t>Stromtarif für Geschäftskunden</t>
  </si>
  <si>
    <t>ZH-NNA</t>
  </si>
  <si>
    <t>Ohne Mehrwertsteuer:</t>
  </si>
  <si>
    <r>
      <t xml:space="preserve">Hochtarif </t>
    </r>
    <r>
      <rPr>
        <sz val="9"/>
        <color theme="1"/>
        <rFont val="Calibri"/>
        <family val="2"/>
        <scheme val="minor"/>
      </rPr>
      <t>(Mo - Sa 6:00 - 22:00):</t>
    </r>
  </si>
  <si>
    <r>
      <t xml:space="preserve">Niedertarif </t>
    </r>
    <r>
      <rPr>
        <sz val="9"/>
        <color theme="1"/>
        <rFont val="Calibri"/>
        <family val="2"/>
        <scheme val="minor"/>
      </rPr>
      <t>(übrige Zeit)</t>
    </r>
    <r>
      <rPr>
        <sz val="11"/>
        <color theme="1"/>
        <rFont val="Calibri"/>
        <family val="2"/>
        <scheme val="minor"/>
      </rPr>
      <t>:</t>
    </r>
  </si>
  <si>
    <t>Strom aus 100% erneuerbaren Energien</t>
  </si>
  <si>
    <t>Netznutzungstarife</t>
  </si>
  <si>
    <t>Kosten: Übrige Zeit(17:00 - 8:00 Uhr)</t>
  </si>
  <si>
    <t>ZH-NNB1</t>
  </si>
  <si>
    <t>ZH-NNB2</t>
  </si>
  <si>
    <t>ZH-NNC</t>
  </si>
  <si>
    <t>SyncMaster B2440 H</t>
  </si>
  <si>
    <t>Abgeschaltet</t>
  </si>
  <si>
    <t>Kosten Mo - Fr 17:00 - 8:00 + Sa - So 00:00 - 00:00, 6 Monate (183 Tage)</t>
  </si>
  <si>
    <t>Total</t>
  </si>
  <si>
    <t>Anzahl (im Einsatz) 106</t>
  </si>
  <si>
    <t>Anzahl (im Einsatz) 78</t>
  </si>
  <si>
    <t>Anzahl (im Einsatz) 68</t>
  </si>
  <si>
    <t>Anzahl (im Einsatz) 252</t>
  </si>
  <si>
    <t>TOTAL CHF</t>
  </si>
  <si>
    <t>TOTAL KWH</t>
  </si>
  <si>
    <t>Kosten 6 Monate (183 Tage)</t>
  </si>
  <si>
    <t>Mit Steckdosenleiste</t>
  </si>
  <si>
    <t>Kosten Mo - Fr 17:00 - 8:00 + Sa - So 00:00 - 00:00, 1 Jahr (365 Tage)</t>
  </si>
  <si>
    <t>Ohne Steckdosenleiste</t>
  </si>
  <si>
    <t>Kosten 1 Jahr (365 Tage)</t>
  </si>
  <si>
    <t>Messungen - ewz.ökopower</t>
  </si>
  <si>
    <t>Tarif Energie - ewz.ökopower</t>
  </si>
  <si>
    <t>Ökostrom aus Wasserkraftwerken mit einem</t>
  </si>
  <si>
    <t>Anteil aus Solar- und Wind- oder Biomasseanlagen</t>
  </si>
  <si>
    <t>Messungen - ewz.wassertop</t>
  </si>
  <si>
    <t>Tarif Energie - ewz.wassertop</t>
  </si>
  <si>
    <t>Reiner Ökostrom aus Wasserkraftwerken (ab 60'000 kWh)</t>
  </si>
  <si>
    <t>Messungen - ewz.solartop</t>
  </si>
  <si>
    <t>Tarif Energie - ewz.solartop</t>
  </si>
  <si>
    <t>Ökostrom aus Solaranlagen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</si>
</sst>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ca.&quot;\ 0.00\ &quot;Rp.&quot;"/>
    <numFmt numFmtId="165" formatCode="[$CHF]\ #,##0.00"/>
    <numFmt numFmtId="166" formatCode="&quot;ca.&quot;\ 0.00\ &quot;kWh&quot;"/>
    <numFmt numFmtId="167" formatCode="0.00\ &quot;kWh&quot;"/>
    <numFmt numFmtId="168" formatCode="0.00000000"/>
    <numFmt numFmtId="169" formatCode="0.00\ &quot;Rp./kwh&quot;"/>
    <numFmt numFmtId="170" formatCode="0.0000000000000"/>
    <numFmt numFmtId="171" formatCode="&quot;ca.&quot;\ 0.00\ &quot;Fr.&quot;"/>
    <numFmt numFmtId="172" formatCode="0.00\ &quot;kwh&quot;"/>
    <numFmt numFmtId="173" formatCode="&quot;ca.&quot;\ 0.00\ &quot;kwh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36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14"/>
      <color rgb="FF0066F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C66FF"/>
      <name val="Calibri"/>
      <family val="2"/>
      <scheme val="minor"/>
    </font>
    <font>
      <b/>
      <sz val="14"/>
      <color rgb="FFFF99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>
      <alignment vertical="top"/>
    </xf>
  </cellStyleXfs>
  <cellXfs count="173">
    <xf numFmtId="0" fontId="0" fillId="0" borderId="0" xfId="0"/>
    <xf numFmtId="0" fontId="0" fillId="0" borderId="0" xfId="0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8" borderId="0" xfId="0" applyFill="1"/>
    <xf numFmtId="0" fontId="0" fillId="0" borderId="5" xfId="0" applyBorder="1"/>
    <xf numFmtId="0" fontId="0" fillId="10" borderId="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11" borderId="7" xfId="0" applyNumberFormat="1" applyFill="1" applyBorder="1" applyAlignment="1">
      <alignment horizontal="center" vertical="center"/>
    </xf>
    <xf numFmtId="165" fontId="0" fillId="11" borderId="7" xfId="0" applyNumberFormat="1" applyFill="1" applyBorder="1" applyAlignment="1">
      <alignment horizontal="center" vertical="center"/>
    </xf>
    <xf numFmtId="0" fontId="0" fillId="0" borderId="0" xfId="0" applyBorder="1"/>
    <xf numFmtId="166" fontId="0" fillId="12" borderId="7" xfId="0" applyNumberFormat="1" applyFill="1" applyBorder="1" applyAlignment="1">
      <alignment horizontal="center" vertical="center"/>
    </xf>
    <xf numFmtId="167" fontId="0" fillId="12" borderId="7" xfId="0" applyNumberFormat="1" applyFill="1" applyBorder="1" applyAlignment="1">
      <alignment horizontal="center" vertical="center"/>
    </xf>
    <xf numFmtId="164" fontId="0" fillId="11" borderId="12" xfId="0" applyNumberFormat="1" applyFill="1" applyBorder="1" applyAlignment="1">
      <alignment horizontal="center" vertical="center"/>
    </xf>
    <xf numFmtId="168" fontId="0" fillId="0" borderId="0" xfId="0" applyNumberFormat="1"/>
    <xf numFmtId="0" fontId="0" fillId="13" borderId="3" xfId="0" applyFill="1" applyBorder="1"/>
    <xf numFmtId="166" fontId="0" fillId="12" borderId="7" xfId="0" applyNumberFormat="1" applyFill="1" applyBorder="1" applyAlignment="1">
      <alignment horizontal="center"/>
    </xf>
    <xf numFmtId="2" fontId="0" fillId="0" borderId="0" xfId="0" applyNumberFormat="1"/>
    <xf numFmtId="0" fontId="0" fillId="13" borderId="9" xfId="0" applyFill="1" applyBorder="1"/>
    <xf numFmtId="0" fontId="0" fillId="13" borderId="0" xfId="0" applyFill="1" applyBorder="1"/>
    <xf numFmtId="0" fontId="0" fillId="13" borderId="13" xfId="0" applyFill="1" applyBorder="1"/>
    <xf numFmtId="0" fontId="0" fillId="13" borderId="0" xfId="0" applyFill="1"/>
    <xf numFmtId="169" fontId="0" fillId="13" borderId="13" xfId="0" applyNumberFormat="1" applyFill="1" applyBorder="1" applyAlignment="1">
      <alignment horizontal="right"/>
    </xf>
    <xf numFmtId="0" fontId="0" fillId="13" borderId="4" xfId="0" applyFill="1" applyBorder="1"/>
    <xf numFmtId="0" fontId="0" fillId="13" borderId="5" xfId="0" applyFill="1" applyBorder="1"/>
    <xf numFmtId="0" fontId="0" fillId="13" borderId="6" xfId="0" applyFill="1" applyBorder="1"/>
    <xf numFmtId="0" fontId="0" fillId="0" borderId="0" xfId="0" applyAlignment="1">
      <alignment horizontal="left" vertical="center"/>
    </xf>
    <xf numFmtId="0" fontId="0" fillId="13" borderId="7" xfId="0" applyFont="1" applyFill="1" applyBorder="1"/>
    <xf numFmtId="0" fontId="0" fillId="0" borderId="0" xfId="0" applyFill="1"/>
    <xf numFmtId="0" fontId="6" fillId="14" borderId="0" xfId="0" applyFont="1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3" fillId="13" borderId="0" xfId="2" applyFont="1" applyFill="1">
      <alignment vertical="top"/>
    </xf>
    <xf numFmtId="0" fontId="8" fillId="13" borderId="0" xfId="2" applyFill="1">
      <alignment vertical="top"/>
    </xf>
    <xf numFmtId="9" fontId="9" fillId="13" borderId="0" xfId="2" applyNumberFormat="1" applyFont="1" applyFill="1">
      <alignment vertical="top"/>
    </xf>
    <xf numFmtId="9" fontId="8" fillId="13" borderId="0" xfId="1" applyFont="1" applyFill="1" applyAlignment="1">
      <alignment vertical="top"/>
    </xf>
    <xf numFmtId="164" fontId="0" fillId="11" borderId="7" xfId="0" applyNumberFormat="1" applyFill="1" applyBorder="1" applyAlignment="1">
      <alignment horizontal="center"/>
    </xf>
    <xf numFmtId="0" fontId="8" fillId="0" borderId="0" xfId="2">
      <alignment vertical="top"/>
    </xf>
    <xf numFmtId="170" fontId="0" fillId="0" borderId="0" xfId="0" applyNumberFormat="1"/>
    <xf numFmtId="0" fontId="1" fillId="13" borderId="0" xfId="2" applyFont="1" applyFill="1">
      <alignment vertical="top"/>
    </xf>
    <xf numFmtId="9" fontId="3" fillId="13" borderId="0" xfId="2" applyNumberFormat="1" applyFont="1" applyFill="1">
      <alignment vertical="top"/>
    </xf>
    <xf numFmtId="1" fontId="8" fillId="13" borderId="0" xfId="2" applyNumberFormat="1" applyFill="1">
      <alignment vertical="top"/>
    </xf>
    <xf numFmtId="9" fontId="8" fillId="13" borderId="0" xfId="2" applyNumberFormat="1" applyFill="1">
      <alignment vertical="top"/>
    </xf>
    <xf numFmtId="0" fontId="8" fillId="0" borderId="0" xfId="2" applyFill="1">
      <alignment vertical="top"/>
    </xf>
    <xf numFmtId="165" fontId="0" fillId="11" borderId="8" xfId="0" applyNumberFormat="1" applyFill="1" applyBorder="1" applyAlignment="1">
      <alignment horizontal="center" vertical="center"/>
    </xf>
    <xf numFmtId="171" fontId="0" fillId="11" borderId="7" xfId="0" applyNumberForma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right"/>
    </xf>
    <xf numFmtId="0" fontId="11" fillId="0" borderId="0" xfId="0" applyFont="1"/>
    <xf numFmtId="165" fontId="0" fillId="0" borderId="0" xfId="0" applyNumberFormat="1" applyAlignment="1">
      <alignment horizontal="right"/>
    </xf>
    <xf numFmtId="165" fontId="12" fillId="0" borderId="0" xfId="0" applyNumberFormat="1" applyFont="1"/>
    <xf numFmtId="172" fontId="8" fillId="0" borderId="0" xfId="2" applyNumberFormat="1">
      <alignment vertical="top"/>
    </xf>
    <xf numFmtId="172" fontId="12" fillId="0" borderId="0" xfId="0" applyNumberFormat="1" applyFont="1"/>
    <xf numFmtId="0" fontId="2" fillId="0" borderId="0" xfId="0" applyFont="1" applyFill="1"/>
    <xf numFmtId="0" fontId="0" fillId="15" borderId="0" xfId="0" applyFill="1"/>
    <xf numFmtId="0" fontId="0" fillId="16" borderId="0" xfId="0" applyFill="1"/>
    <xf numFmtId="0" fontId="10" fillId="17" borderId="0" xfId="0" applyFont="1" applyFill="1"/>
    <xf numFmtId="0" fontId="10" fillId="13" borderId="0" xfId="0" applyFont="1" applyFill="1"/>
    <xf numFmtId="0" fontId="0" fillId="17" borderId="0" xfId="0" applyFill="1" applyAlignment="1">
      <alignment horizontal="right"/>
    </xf>
    <xf numFmtId="0" fontId="0" fillId="13" borderId="0" xfId="0" applyFill="1" applyAlignment="1">
      <alignment horizontal="right"/>
    </xf>
    <xf numFmtId="0" fontId="11" fillId="16" borderId="0" xfId="0" applyFont="1" applyFill="1"/>
    <xf numFmtId="165" fontId="0" fillId="17" borderId="0" xfId="0" applyNumberFormat="1" applyFill="1" applyAlignment="1">
      <alignment horizontal="right"/>
    </xf>
    <xf numFmtId="165" fontId="0" fillId="13" borderId="0" xfId="0" applyNumberFormat="1" applyFill="1" applyAlignment="1">
      <alignment horizontal="right"/>
    </xf>
    <xf numFmtId="165" fontId="12" fillId="13" borderId="0" xfId="0" applyNumberFormat="1" applyFont="1" applyFill="1"/>
    <xf numFmtId="0" fontId="0" fillId="17" borderId="0" xfId="0" applyFill="1"/>
    <xf numFmtId="0" fontId="8" fillId="16" borderId="0" xfId="2" applyFill="1">
      <alignment vertical="top"/>
    </xf>
    <xf numFmtId="172" fontId="1" fillId="17" borderId="0" xfId="2" applyNumberFormat="1" applyFont="1" applyFill="1">
      <alignment vertical="top"/>
    </xf>
    <xf numFmtId="172" fontId="1" fillId="13" borderId="0" xfId="2" applyNumberFormat="1" applyFont="1" applyFill="1">
      <alignment vertical="top"/>
    </xf>
    <xf numFmtId="172" fontId="12" fillId="13" borderId="0" xfId="0" applyNumberFormat="1" applyFont="1" applyFill="1"/>
    <xf numFmtId="165" fontId="0" fillId="17" borderId="0" xfId="0" applyNumberFormat="1" applyFont="1" applyFill="1" applyAlignment="1">
      <alignment horizontal="right"/>
    </xf>
    <xf numFmtId="165" fontId="0" fillId="13" borderId="0" xfId="0" applyNumberFormat="1" applyFont="1" applyFill="1" applyAlignment="1">
      <alignment horizontal="right"/>
    </xf>
    <xf numFmtId="0" fontId="0" fillId="17" borderId="0" xfId="0" applyFont="1" applyFill="1"/>
    <xf numFmtId="0" fontId="0" fillId="13" borderId="0" xfId="0" applyFont="1" applyFill="1"/>
    <xf numFmtId="172" fontId="0" fillId="17" borderId="0" xfId="2" applyNumberFormat="1" applyFont="1" applyFill="1">
      <alignment vertical="top"/>
    </xf>
    <xf numFmtId="172" fontId="0" fillId="13" borderId="0" xfId="2" applyNumberFormat="1" applyFont="1" applyFill="1">
      <alignment vertical="top"/>
    </xf>
    <xf numFmtId="164" fontId="0" fillId="17" borderId="7" xfId="0" applyNumberFormat="1" applyFill="1" applyBorder="1" applyAlignment="1">
      <alignment horizontal="center" vertical="center"/>
    </xf>
    <xf numFmtId="165" fontId="0" fillId="17" borderId="7" xfId="0" applyNumberFormat="1" applyFill="1" applyBorder="1" applyAlignment="1">
      <alignment horizontal="center" vertical="center"/>
    </xf>
    <xf numFmtId="173" fontId="0" fillId="18" borderId="7" xfId="0" applyNumberFormat="1" applyFill="1" applyBorder="1" applyAlignment="1">
      <alignment horizontal="center" vertical="center"/>
    </xf>
    <xf numFmtId="164" fontId="0" fillId="17" borderId="12" xfId="0" applyNumberFormat="1" applyFill="1" applyBorder="1" applyAlignment="1">
      <alignment horizontal="center" vertical="center"/>
    </xf>
    <xf numFmtId="0" fontId="0" fillId="13" borderId="1" xfId="0" applyFill="1" applyBorder="1"/>
    <xf numFmtId="0" fontId="0" fillId="13" borderId="2" xfId="0" applyFill="1" applyBorder="1"/>
    <xf numFmtId="173" fontId="0" fillId="18" borderId="7" xfId="0" applyNumberFormat="1" applyFill="1" applyBorder="1" applyAlignment="1">
      <alignment horizontal="center"/>
    </xf>
    <xf numFmtId="0" fontId="0" fillId="13" borderId="9" xfId="0" applyFill="1" applyBorder="1" applyAlignment="1">
      <alignment horizontal="left"/>
    </xf>
    <xf numFmtId="0" fontId="0" fillId="13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8" fillId="14" borderId="0" xfId="2" applyFill="1">
      <alignment vertical="top"/>
    </xf>
    <xf numFmtId="165" fontId="0" fillId="17" borderId="8" xfId="0" applyNumberFormat="1" applyFill="1" applyBorder="1" applyAlignment="1">
      <alignment horizontal="center" vertical="center"/>
    </xf>
    <xf numFmtId="164" fontId="0" fillId="17" borderId="7" xfId="0" applyNumberFormat="1" applyFill="1" applyBorder="1" applyAlignment="1">
      <alignment horizontal="center"/>
    </xf>
    <xf numFmtId="0" fontId="0" fillId="10" borderId="8" xfId="0" applyFill="1" applyBorder="1" applyAlignment="1">
      <alignment horizontal="center" vertical="center"/>
    </xf>
    <xf numFmtId="0" fontId="8" fillId="0" borderId="0" xfId="2" applyBorder="1">
      <alignment vertical="top"/>
    </xf>
    <xf numFmtId="0" fontId="0" fillId="0" borderId="0" xfId="0" applyBorder="1" applyAlignment="1">
      <alignment wrapText="1"/>
    </xf>
    <xf numFmtId="165" fontId="16" fillId="0" borderId="0" xfId="0" applyNumberFormat="1" applyFont="1"/>
    <xf numFmtId="172" fontId="16" fillId="0" borderId="0" xfId="0" applyNumberFormat="1" applyFont="1" applyFill="1"/>
    <xf numFmtId="0" fontId="8" fillId="0" borderId="2" xfId="2" applyBorder="1">
      <alignment vertical="top"/>
    </xf>
    <xf numFmtId="0" fontId="8" fillId="0" borderId="5" xfId="2" applyBorder="1">
      <alignment vertical="top"/>
    </xf>
    <xf numFmtId="0" fontId="17" fillId="0" borderId="0" xfId="2" applyFont="1">
      <alignment vertical="top"/>
    </xf>
    <xf numFmtId="164" fontId="0" fillId="19" borderId="7" xfId="0" applyNumberFormat="1" applyFill="1" applyBorder="1" applyAlignment="1">
      <alignment horizontal="center" vertical="center"/>
    </xf>
    <xf numFmtId="165" fontId="0" fillId="19" borderId="8" xfId="0" applyNumberFormat="1" applyFill="1" applyBorder="1" applyAlignment="1">
      <alignment horizontal="center" vertical="center"/>
    </xf>
    <xf numFmtId="173" fontId="0" fillId="20" borderId="7" xfId="0" applyNumberFormat="1" applyFill="1" applyBorder="1" applyAlignment="1">
      <alignment horizontal="center" vertical="center"/>
    </xf>
    <xf numFmtId="164" fontId="0" fillId="19" borderId="12" xfId="0" applyNumberFormat="1" applyFill="1" applyBorder="1" applyAlignment="1">
      <alignment horizontal="center" vertical="center"/>
    </xf>
    <xf numFmtId="173" fontId="0" fillId="20" borderId="7" xfId="0" applyNumberFormat="1" applyFill="1" applyBorder="1" applyAlignment="1">
      <alignment horizontal="center"/>
    </xf>
    <xf numFmtId="0" fontId="18" fillId="13" borderId="13" xfId="2" applyFont="1" applyFill="1" applyBorder="1">
      <alignment vertical="top"/>
    </xf>
    <xf numFmtId="0" fontId="18" fillId="13" borderId="0" xfId="2" applyFont="1" applyFill="1" applyBorder="1">
      <alignment vertical="top"/>
    </xf>
    <xf numFmtId="0" fontId="18" fillId="13" borderId="6" xfId="2" applyFont="1" applyFill="1" applyBorder="1">
      <alignment vertical="top"/>
    </xf>
    <xf numFmtId="0" fontId="8" fillId="0" borderId="0" xfId="2" applyFill="1" applyBorder="1">
      <alignment vertical="top"/>
    </xf>
    <xf numFmtId="0" fontId="8" fillId="7" borderId="0" xfId="2" applyFill="1">
      <alignment vertical="top"/>
    </xf>
    <xf numFmtId="164" fontId="0" fillId="19" borderId="7" xfId="0" applyNumberFormat="1" applyFill="1" applyBorder="1" applyAlignment="1">
      <alignment horizontal="center"/>
    </xf>
    <xf numFmtId="0" fontId="1" fillId="0" borderId="0" xfId="2" applyFont="1" applyFill="1">
      <alignment vertical="top"/>
    </xf>
    <xf numFmtId="173" fontId="0" fillId="20" borderId="12" xfId="0" applyNumberFormat="1" applyFill="1" applyBorder="1" applyAlignment="1">
      <alignment horizontal="center"/>
    </xf>
    <xf numFmtId="173" fontId="0" fillId="20" borderId="12" xfId="0" applyNumberFormat="1" applyFill="1" applyBorder="1" applyAlignment="1">
      <alignment horizontal="center" vertical="center"/>
    </xf>
    <xf numFmtId="167" fontId="19" fillId="20" borderId="7" xfId="0" applyNumberFormat="1" applyFont="1" applyFill="1" applyBorder="1" applyAlignment="1">
      <alignment horizontal="center" vertical="center"/>
    </xf>
    <xf numFmtId="165" fontId="20" fillId="0" borderId="0" xfId="0" applyNumberFormat="1" applyFont="1"/>
    <xf numFmtId="172" fontId="20" fillId="0" borderId="0" xfId="0" applyNumberFormat="1" applyFont="1"/>
    <xf numFmtId="0" fontId="0" fillId="0" borderId="9" xfId="0" applyBorder="1" applyAlignment="1">
      <alignment vertical="center"/>
    </xf>
    <xf numFmtId="164" fontId="0" fillId="21" borderId="7" xfId="0" applyNumberFormat="1" applyFill="1" applyBorder="1" applyAlignment="1">
      <alignment horizontal="center" vertical="center"/>
    </xf>
    <xf numFmtId="164" fontId="0" fillId="21" borderId="8" xfId="0" applyNumberFormat="1" applyFill="1" applyBorder="1" applyAlignment="1">
      <alignment horizontal="center" vertical="center"/>
    </xf>
    <xf numFmtId="173" fontId="0" fillId="22" borderId="7" xfId="0" applyNumberFormat="1" applyFill="1" applyBorder="1" applyAlignment="1">
      <alignment horizontal="center" vertical="center"/>
    </xf>
    <xf numFmtId="173" fontId="0" fillId="22" borderId="8" xfId="0" applyNumberFormat="1" applyFill="1" applyBorder="1" applyAlignment="1">
      <alignment horizontal="center" vertical="center"/>
    </xf>
    <xf numFmtId="173" fontId="0" fillId="0" borderId="0" xfId="0" applyNumberFormat="1" applyFill="1" applyBorder="1" applyAlignment="1">
      <alignment horizontal="center" vertical="center"/>
    </xf>
    <xf numFmtId="164" fontId="0" fillId="21" borderId="12" xfId="0" applyNumberFormat="1" applyFill="1" applyBorder="1" applyAlignment="1">
      <alignment horizontal="center" vertical="center"/>
    </xf>
    <xf numFmtId="173" fontId="0" fillId="22" borderId="7" xfId="0" applyNumberFormat="1" applyFill="1" applyBorder="1" applyAlignment="1">
      <alignment horizontal="center"/>
    </xf>
    <xf numFmtId="0" fontId="8" fillId="13" borderId="13" xfId="2" applyFill="1" applyBorder="1">
      <alignment vertical="top"/>
    </xf>
    <xf numFmtId="0" fontId="8" fillId="13" borderId="6" xfId="2" applyFill="1" applyBorder="1">
      <alignment vertical="top"/>
    </xf>
    <xf numFmtId="0" fontId="8" fillId="0" borderId="9" xfId="2" applyFill="1" applyBorder="1">
      <alignment vertical="top"/>
    </xf>
    <xf numFmtId="165" fontId="0" fillId="21" borderId="8" xfId="0" applyNumberFormat="1" applyFill="1" applyBorder="1" applyAlignment="1">
      <alignment horizontal="center" vertical="center"/>
    </xf>
    <xf numFmtId="0" fontId="8" fillId="0" borderId="13" xfId="2" applyBorder="1">
      <alignment vertical="top"/>
    </xf>
    <xf numFmtId="173" fontId="19" fillId="22" borderId="7" xfId="0" applyNumberFormat="1" applyFont="1" applyFill="1" applyBorder="1" applyAlignment="1">
      <alignment horizontal="center"/>
    </xf>
    <xf numFmtId="164" fontId="0" fillId="21" borderId="7" xfId="0" applyNumberFormat="1" applyFill="1" applyBorder="1" applyAlignment="1">
      <alignment horizontal="center"/>
    </xf>
    <xf numFmtId="165" fontId="21" fillId="0" borderId="0" xfId="0" applyNumberFormat="1" applyFont="1"/>
    <xf numFmtId="172" fontId="21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10" borderId="8" xfId="0" applyFill="1" applyBorder="1" applyAlignment="1">
      <alignment vertical="center"/>
    </xf>
    <xf numFmtId="0" fontId="0" fillId="1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10" borderId="8" xfId="0" applyFill="1" applyBorder="1"/>
    <xf numFmtId="0" fontId="0" fillId="10" borderId="14" xfId="0" applyFill="1" applyBorder="1"/>
    <xf numFmtId="0" fontId="6" fillId="9" borderId="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0" fillId="13" borderId="1" xfId="0" applyFill="1" applyBorder="1"/>
    <xf numFmtId="0" fontId="0" fillId="13" borderId="2" xfId="0" applyFill="1" applyBorder="1"/>
    <xf numFmtId="0" fontId="5" fillId="7" borderId="0" xfId="0" applyFont="1" applyFill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/>
    </xf>
    <xf numFmtId="0" fontId="0" fillId="10" borderId="11" xfId="0" applyFill="1" applyBorder="1"/>
    <xf numFmtId="0" fontId="0" fillId="13" borderId="9" xfId="0" applyFill="1" applyBorder="1" applyAlignment="1">
      <alignment horizontal="left"/>
    </xf>
    <xf numFmtId="0" fontId="0" fillId="13" borderId="0" xfId="0" applyFill="1" applyBorder="1" applyAlignment="1">
      <alignment horizontal="left"/>
    </xf>
  </cellXfs>
  <cellStyles count="3">
    <cellStyle name="Prozent" xfId="1" builtinId="5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2.xml"/><Relationship Id="rId15" Type="http://schemas.openxmlformats.org/officeDocument/2006/relationships/externalLink" Target="externalLinks/externalLink2.xml"/><Relationship Id="rId10" Type="http://schemas.openxmlformats.org/officeDocument/2006/relationships/chartsheet" Target="chart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externalLink" Target="externalLinks/externalLink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ewz.basis Kosten in CHF (183 Tage)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ewz.basis!$A$35</c:f>
              <c:strCache>
                <c:ptCount val="1"/>
                <c:pt idx="0">
                  <c:v>SyncMaster B2440H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5.4636198740248432E-3"/>
                  <c:y val="4.2276422222950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(ewz.wassertop!$G$100,ewz.wassertop!$G$99)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(ewz.basis!$C$112,ewz.basis!$C$121)</c:f>
              <c:numCache>
                <c:formatCode>[$CHF]\ #,##0.00</c:formatCode>
                <c:ptCount val="2"/>
                <c:pt idx="0">
                  <c:v>5128.8886053571441</c:v>
                </c:pt>
                <c:pt idx="1">
                  <c:v>4227.4585982142871</c:v>
                </c:pt>
              </c:numCache>
            </c:numRef>
          </c:val>
        </c:ser>
        <c:ser>
          <c:idx val="1"/>
          <c:order val="1"/>
          <c:tx>
            <c:strRef>
              <c:f>ewz.basis!$A$44</c:f>
              <c:strCache>
                <c:ptCount val="1"/>
                <c:pt idx="0">
                  <c:v>HP Smart Client t510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5.4636198740248432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4636198740248432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(ewz.wassertop!$G$100,ewz.wassertop!$G$99)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(ewz.basis!$D$112,ewz.basis!$D$121)</c:f>
              <c:numCache>
                <c:formatCode>[$CHF]\ #,##0.00</c:formatCode>
                <c:ptCount val="2"/>
                <c:pt idx="0">
                  <c:v>3346.4905987500006</c:v>
                </c:pt>
                <c:pt idx="1">
                  <c:v>2785.2202137500008</c:v>
                </c:pt>
              </c:numCache>
            </c:numRef>
          </c:val>
        </c:ser>
        <c:ser>
          <c:idx val="2"/>
          <c:order val="2"/>
          <c:tx>
            <c:strRef>
              <c:f>ewz.basis!$A$53</c:f>
              <c:strCache>
                <c:ptCount val="1"/>
                <c:pt idx="0">
                  <c:v>HP Smart Client t5565z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>
                <c:manualLayout>
                  <c:x val="4.0977149055186329E-3"/>
                  <c:y val="4.2276422222950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5613347795434761E-3"/>
                  <c:y val="1.0569105555737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(ewz.wassertop!$G$100,ewz.wassertop!$G$99)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(ewz.basis!$E$112,ewz.basis!$E$121)</c:f>
              <c:numCache>
                <c:formatCode>[$CHF]\ #,##0.00</c:formatCode>
                <c:ptCount val="2"/>
                <c:pt idx="0">
                  <c:v>2908.9052525000002</c:v>
                </c:pt>
                <c:pt idx="1">
                  <c:v>2378.520955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3891328"/>
        <c:axId val="83892864"/>
      </c:barChart>
      <c:catAx>
        <c:axId val="838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92864"/>
        <c:crosses val="autoZero"/>
        <c:auto val="1"/>
        <c:lblAlgn val="ctr"/>
        <c:lblOffset val="100"/>
        <c:noMultiLvlLbl val="0"/>
      </c:catAx>
      <c:valAx>
        <c:axId val="83892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Kosten in CHF</a:t>
                </a:r>
              </a:p>
            </c:rich>
          </c:tx>
          <c:overlay val="0"/>
        </c:title>
        <c:numFmt formatCode="[$CHF]\ #,##0.00" sourceLinked="1"/>
        <c:majorTickMark val="out"/>
        <c:minorTickMark val="none"/>
        <c:tickLblPos val="nextTo"/>
        <c:crossAx val="83891328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ewz.ökopower Kosten in CHF (183 Tage)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ewz.ökopower!$A$35</c:f>
              <c:strCache>
                <c:ptCount val="1"/>
                <c:pt idx="0">
                  <c:v>SyncMaster B2440H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5.4636198740248432E-3"/>
                  <c:y val="4.2276422222950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(ewz.ökopower!$G$100,ewz.ökopower!$G$99)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(ewz.ökopower!$C$112,ewz.ökopower!$C$121)</c:f>
              <c:numCache>
                <c:formatCode>[$CHF]\ #,##0.00</c:formatCode>
                <c:ptCount val="2"/>
                <c:pt idx="0">
                  <c:v>5765.9161122227088</c:v>
                </c:pt>
                <c:pt idx="1">
                  <c:v>4707.2798786690273</c:v>
                </c:pt>
              </c:numCache>
            </c:numRef>
          </c:val>
        </c:ser>
        <c:ser>
          <c:idx val="1"/>
          <c:order val="1"/>
          <c:tx>
            <c:strRef>
              <c:f>ewz.ökopower!$A$44</c:f>
              <c:strCache>
                <c:ptCount val="1"/>
                <c:pt idx="0">
                  <c:v>HP Smart Client t510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5.4636198740248432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4636198740248432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(ewz.ökopower!$G$100,ewz.ökopower!$G$99)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(ewz.ökopower!$D$112,ewz.ökopower!$D$121)</c:f>
              <c:numCache>
                <c:formatCode>[$CHF]\ #,##0.00</c:formatCode>
                <c:ptCount val="2"/>
                <c:pt idx="0">
                  <c:v>3746.2705623167658</c:v>
                </c:pt>
                <c:pt idx="1">
                  <c:v>3096.0650462857097</c:v>
                </c:pt>
              </c:numCache>
            </c:numRef>
          </c:val>
        </c:ser>
        <c:ser>
          <c:idx val="2"/>
          <c:order val="2"/>
          <c:tx>
            <c:strRef>
              <c:f>ewz.basis!$A$53</c:f>
              <c:strCache>
                <c:ptCount val="1"/>
                <c:pt idx="0">
                  <c:v>HP Smart Client t5565z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>
                <c:manualLayout>
                  <c:x val="2.7318099370124216E-3"/>
                  <c:y val="1.26827602242780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5613347795434761E-3"/>
                  <c:y val="-1.0569105555737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(ewz.ökopower!$G$100,ewz.ökopower!$G$99)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(ewz.ökopower!$E$112,ewz.ökopower!$E$121)</c:f>
              <c:numCache>
                <c:formatCode>[$CHF]\ #,##0.00</c:formatCode>
                <c:ptCount val="2"/>
                <c:pt idx="0">
                  <c:v>3258.1969566552752</c:v>
                </c:pt>
                <c:pt idx="1">
                  <c:v>2643.2212846583807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299200"/>
        <c:axId val="89309184"/>
      </c:barChart>
      <c:catAx>
        <c:axId val="8929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89309184"/>
        <c:crosses val="autoZero"/>
        <c:auto val="1"/>
        <c:lblAlgn val="ctr"/>
        <c:lblOffset val="100"/>
        <c:noMultiLvlLbl val="0"/>
      </c:catAx>
      <c:valAx>
        <c:axId val="89309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Kosten in CHF</a:t>
                </a:r>
              </a:p>
            </c:rich>
          </c:tx>
          <c:layout/>
          <c:overlay val="0"/>
        </c:title>
        <c:numFmt formatCode="[$CHF]\ #,##0.00" sourceLinked="1"/>
        <c:majorTickMark val="out"/>
        <c:minorTickMark val="none"/>
        <c:tickLblPos val="nextTo"/>
        <c:crossAx val="8929920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ewz.wassertop Kosten in CHF (183 Tage)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ewz.wassertop!$A$35</c:f>
              <c:strCache>
                <c:ptCount val="1"/>
                <c:pt idx="0">
                  <c:v>SyncMaster B2440H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5.4636198740248432E-3"/>
                  <c:y val="4.2276422222950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(ewz.wassertop!$G$100,ewz.wassertop!$G$99)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(ewz.wassertop!$C$112,ewz.wassertop!$C$121)</c:f>
              <c:numCache>
                <c:formatCode>[$CHF]\ #,##0.00</c:formatCode>
                <c:ptCount val="2"/>
                <c:pt idx="0">
                  <c:v>2472.6360147837149</c:v>
                </c:pt>
                <c:pt idx="1">
                  <c:v>1992.8402142335819</c:v>
                </c:pt>
              </c:numCache>
            </c:numRef>
          </c:val>
        </c:ser>
        <c:ser>
          <c:idx val="1"/>
          <c:order val="1"/>
          <c:tx>
            <c:strRef>
              <c:f>ewz.wassertop!$A$44</c:f>
              <c:strCache>
                <c:ptCount val="1"/>
                <c:pt idx="0">
                  <c:v>HP Smart Client t510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5.4636198740248432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4636198740248432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(ewz.wassertop!$G$100,ewz.wassertop!$G$99)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(ewz.wassertop!$D$112,ewz.wassertop!$D$121)</c:f>
              <c:numCache>
                <c:formatCode>[$CHF]\ #,##0.00</c:formatCode>
                <c:ptCount val="2"/>
                <c:pt idx="0">
                  <c:v>1595.4311568423891</c:v>
                </c:pt>
                <c:pt idx="1">
                  <c:v>1297.7675342336934</c:v>
                </c:pt>
              </c:numCache>
            </c:numRef>
          </c:val>
        </c:ser>
        <c:ser>
          <c:idx val="2"/>
          <c:order val="2"/>
          <c:tx>
            <c:strRef>
              <c:f>ewz.wassertop!$A$53</c:f>
              <c:strCache>
                <c:ptCount val="1"/>
                <c:pt idx="0">
                  <c:v>HP Smart Client t5565z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>
                <c:manualLayout>
                  <c:x val="4.0977149055186329E-3"/>
                  <c:y val="4.2276422222950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1954298110372657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(ewz.wassertop!$G$100,ewz.wassertop!$G$99)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(ewz.wassertop!$E$112,ewz.wassertop!$E$121)</c:f>
              <c:numCache>
                <c:formatCode>[$CHF]\ #,##0.00</c:formatCode>
                <c:ptCount val="2"/>
                <c:pt idx="0">
                  <c:v>1387.9747483369545</c:v>
                </c:pt>
                <c:pt idx="1">
                  <c:v>1106.270912597824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460096"/>
        <c:axId val="89478272"/>
      </c:barChart>
      <c:catAx>
        <c:axId val="8946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89478272"/>
        <c:crosses val="autoZero"/>
        <c:auto val="1"/>
        <c:lblAlgn val="ctr"/>
        <c:lblOffset val="100"/>
        <c:noMultiLvlLbl val="0"/>
      </c:catAx>
      <c:valAx>
        <c:axId val="89478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Kosten in CHF</a:t>
                </a:r>
              </a:p>
            </c:rich>
          </c:tx>
          <c:layout/>
          <c:overlay val="0"/>
        </c:title>
        <c:numFmt formatCode="[$CHF]\ #,##0.00" sourceLinked="1"/>
        <c:majorTickMark val="out"/>
        <c:minorTickMark val="none"/>
        <c:tickLblPos val="nextTo"/>
        <c:crossAx val="89460096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ewz.wassertop Kosten in CHF (365 Tage)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ewz.wassertop!$A$35</c:f>
              <c:strCache>
                <c:ptCount val="1"/>
                <c:pt idx="0">
                  <c:v>SyncMaster B2440H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5.4636198740248684E-3"/>
                  <c:y val="-4.2276422222950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(ewz.wassertop!$G$100,ewz.wassertop!$G$99)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(ewz.solartop!$C$112,ewz.solartop!$C$121)</c:f>
              <c:numCache>
                <c:formatCode>[$CHF]\ #,##0.00</c:formatCode>
                <c:ptCount val="2"/>
                <c:pt idx="0">
                  <c:v>14794.968289180342</c:v>
                </c:pt>
                <c:pt idx="1">
                  <c:v>11322.034692685223</c:v>
                </c:pt>
              </c:numCache>
            </c:numRef>
          </c:val>
        </c:ser>
        <c:ser>
          <c:idx val="1"/>
          <c:order val="1"/>
          <c:tx>
            <c:strRef>
              <c:f>ewz.wassertop!$A$44</c:f>
              <c:strCache>
                <c:ptCount val="1"/>
                <c:pt idx="0">
                  <c:v>HP Smart Client t510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5.4636198740248432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4636198740248432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(ewz.wassertop!$G$100,ewz.wassertop!$G$99)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(ewz.solartop!$D$112,ewz.solartop!$D$121)</c:f>
              <c:numCache>
                <c:formatCode>[$CHF]\ #,##0.00</c:formatCode>
                <c:ptCount val="2"/>
                <c:pt idx="0">
                  <c:v>9540.2245403920806</c:v>
                </c:pt>
                <c:pt idx="1">
                  <c:v>7316.8462646156822</c:v>
                </c:pt>
              </c:numCache>
            </c:numRef>
          </c:val>
        </c:ser>
        <c:ser>
          <c:idx val="2"/>
          <c:order val="2"/>
          <c:tx>
            <c:strRef>
              <c:f>ewz.wassertop!$A$53</c:f>
              <c:strCache>
                <c:ptCount val="1"/>
                <c:pt idx="0">
                  <c:v>HP Smart Client t5565z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>
                <c:manualLayout>
                  <c:x val="2.7318099370124216E-3"/>
                  <c:y val="-4.22764222229500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1954298110372657E-3"/>
                  <c:y val="2.1138211111475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(ewz.wassertop!$G$100,ewz.wassertop!$G$99)</c:f>
              <c:strCache>
                <c:ptCount val="2"/>
                <c:pt idx="0">
                  <c:v>Ohne Steckdosenleiste</c:v>
                </c:pt>
                <c:pt idx="1">
                  <c:v>Mit Steckdosenleiste</c:v>
                </c:pt>
              </c:strCache>
            </c:strRef>
          </c:cat>
          <c:val>
            <c:numRef>
              <c:f>(ewz.solartop!$E$112,ewz.solartop!$E$121)</c:f>
              <c:numCache>
                <c:formatCode>[$CHF]\ #,##0.00</c:formatCode>
                <c:ptCount val="2"/>
                <c:pt idx="0">
                  <c:v>8336.2583818711173</c:v>
                </c:pt>
                <c:pt idx="1">
                  <c:v>6221.4740194487567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432832"/>
        <c:axId val="89434368"/>
      </c:barChart>
      <c:catAx>
        <c:axId val="8943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89434368"/>
        <c:crosses val="autoZero"/>
        <c:auto val="1"/>
        <c:lblAlgn val="ctr"/>
        <c:lblOffset val="100"/>
        <c:noMultiLvlLbl val="0"/>
      </c:catAx>
      <c:valAx>
        <c:axId val="89434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Kosten in CHF</a:t>
                </a:r>
              </a:p>
            </c:rich>
          </c:tx>
          <c:layout/>
          <c:overlay val="0"/>
        </c:title>
        <c:numFmt formatCode="[$CHF]\ #,##0.00" sourceLinked="1"/>
        <c:majorTickMark val="out"/>
        <c:minorTickMark val="none"/>
        <c:tickLblPos val="nextTo"/>
        <c:crossAx val="89432832"/>
        <c:crosses val="autoZero"/>
        <c:crossBetween val="between"/>
      </c:valAx>
      <c:spPr>
        <a:solidFill>
          <a:srgbClr val="FFFFCC"/>
        </a:solidFill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Kostenvergleich für 1 Jahr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Kosten ohne Steckdosenleiste</c:v>
          </c:tx>
          <c:spPr>
            <a:solidFill>
              <a:srgbClr val="FF7C8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1200" b="1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([2]xx3!$B$5,[2]xx3!$B$6,[2]xx3!$B$7,[2]xx3!$B$8)</c:f>
              <c:strCache>
                <c:ptCount val="4"/>
                <c:pt idx="0">
                  <c:v>ewz.solartop</c:v>
                </c:pt>
                <c:pt idx="1">
                  <c:v>ewz.ökopower</c:v>
                </c:pt>
                <c:pt idx="2">
                  <c:v>ewz.basis </c:v>
                </c:pt>
                <c:pt idx="3">
                  <c:v>ewz.wassertop</c:v>
                </c:pt>
              </c:strCache>
            </c:strRef>
          </c:cat>
          <c:val>
            <c:numRef>
              <c:f>[2]xx3!$D$5:$D$8</c:f>
              <c:numCache>
                <c:formatCode>General</c:formatCode>
                <c:ptCount val="4"/>
                <c:pt idx="0">
                  <c:v>32671.45</c:v>
                </c:pt>
                <c:pt idx="1">
                  <c:v>12770.38</c:v>
                </c:pt>
                <c:pt idx="2">
                  <c:v>11384.28</c:v>
                </c:pt>
                <c:pt idx="3">
                  <c:v>5456.04</c:v>
                </c:pt>
              </c:numCache>
            </c:numRef>
          </c:val>
        </c:ser>
        <c:ser>
          <c:idx val="1"/>
          <c:order val="1"/>
          <c:tx>
            <c:v>Kosten mit Steckdosenleiste</c:v>
          </c:tx>
          <c:spPr>
            <a:solidFill>
              <a:srgbClr val="92D05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1200" b="1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([2]xx3!$B$5,[2]xx3!$B$6,[2]xx3!$B$7,[2]xx3!$B$8)</c:f>
              <c:strCache>
                <c:ptCount val="4"/>
                <c:pt idx="0">
                  <c:v>ewz.solartop</c:v>
                </c:pt>
                <c:pt idx="1">
                  <c:v>ewz.ökopower</c:v>
                </c:pt>
                <c:pt idx="2">
                  <c:v>ewz.basis </c:v>
                </c:pt>
                <c:pt idx="3">
                  <c:v>ewz.wassertop</c:v>
                </c:pt>
              </c:strCache>
            </c:strRef>
          </c:cat>
          <c:val>
            <c:numRef>
              <c:f>[2]xx3!$E$5:$E$8</c:f>
              <c:numCache>
                <c:formatCode>General</c:formatCode>
                <c:ptCount val="4"/>
                <c:pt idx="0">
                  <c:v>24860.35</c:v>
                </c:pt>
                <c:pt idx="1">
                  <c:v>10446.56</c:v>
                </c:pt>
                <c:pt idx="2">
                  <c:v>9391.2000000000007</c:v>
                </c:pt>
                <c:pt idx="3">
                  <c:v>4396.88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544576"/>
        <c:axId val="89546112"/>
      </c:barChart>
      <c:catAx>
        <c:axId val="8954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546112"/>
        <c:crosses val="autoZero"/>
        <c:auto val="1"/>
        <c:lblAlgn val="ctr"/>
        <c:lblOffset val="100"/>
        <c:noMultiLvlLbl val="0"/>
      </c:catAx>
      <c:valAx>
        <c:axId val="8954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544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Stromverbrauch für 1 Jahr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372411008305661"/>
          <c:y val="2.0646247670923979E-2"/>
          <c:w val="0.83859242395761535"/>
          <c:h val="0.9106795960128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[2]xx1!$B$3</c:f>
              <c:strCache>
                <c:ptCount val="1"/>
                <c:pt idx="0">
                  <c:v>kwh ohne Steckdosenleiste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([2]xx1!$B$5,[2]xx1!$B$6,[2]xx1!$B$7,[2]xx1!$B$8)</c:f>
              <c:numCache>
                <c:formatCode>General</c:formatCode>
                <c:ptCount val="4"/>
              </c:numCache>
            </c:numRef>
          </c:cat>
          <c:val>
            <c:numRef>
              <c:f>[2]xx1!$B$4</c:f>
              <c:numCache>
                <c:formatCode>General</c:formatCode>
                <c:ptCount val="1"/>
                <c:pt idx="0">
                  <c:v>56823.67</c:v>
                </c:pt>
              </c:numCache>
            </c:numRef>
          </c:val>
        </c:ser>
        <c:ser>
          <c:idx val="1"/>
          <c:order val="1"/>
          <c:tx>
            <c:strRef>
              <c:f>[2]xx1!$D$3</c:f>
              <c:strCache>
                <c:ptCount val="1"/>
                <c:pt idx="0">
                  <c:v>kwh mit Steckdosenleiste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([2]xx1!$B$5,[2]xx1!$B$6,[2]xx1!$B$7,[2]xx1!$B$8)</c:f>
              <c:numCache>
                <c:formatCode>General</c:formatCode>
                <c:ptCount val="4"/>
              </c:numCache>
            </c:numRef>
          </c:cat>
          <c:val>
            <c:numRef>
              <c:f>[2]xx1!$D$4</c:f>
              <c:numCache>
                <c:formatCode>General</c:formatCode>
                <c:ptCount val="1"/>
                <c:pt idx="0">
                  <c:v>36100.160000000003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9753472"/>
        <c:axId val="89755008"/>
      </c:barChart>
      <c:catAx>
        <c:axId val="8975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755008"/>
        <c:crosses val="autoZero"/>
        <c:auto val="1"/>
        <c:lblAlgn val="ctr"/>
        <c:lblOffset val="100"/>
        <c:noMultiLvlLbl val="0"/>
      </c:catAx>
      <c:valAx>
        <c:axId val="8975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753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2523362718021"/>
          <c:y val="1.2888520665502794E-2"/>
          <c:w val="0.80863175902263529"/>
          <c:h val="0.92364239152885175"/>
        </c:manualLayout>
      </c:layout>
      <c:barChart>
        <c:barDir val="col"/>
        <c:grouping val="clustered"/>
        <c:varyColors val="0"/>
        <c:ser>
          <c:idx val="0"/>
          <c:order val="0"/>
          <c:tx>
            <c:v>Stromkosten inkl. Kosten der Stromsteckdosenleiste </c:v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txPr>
              <a:bodyPr rot="-5400000" vert="horz"/>
              <a:lstStyle/>
              <a:p>
                <a:pPr>
                  <a:defRPr sz="1200" b="1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([2]xx3!$B$5,[2]xx3!$B$6,[2]xx3!$B$7,[2]xx3!$B$8,[2]xx3!$B$11)</c:f>
              <c:strCache>
                <c:ptCount val="5"/>
                <c:pt idx="0">
                  <c:v>ewz.solartop</c:v>
                </c:pt>
                <c:pt idx="1">
                  <c:v>ewz.ökopower</c:v>
                </c:pt>
                <c:pt idx="2">
                  <c:v>ewz.basis </c:v>
                </c:pt>
                <c:pt idx="3">
                  <c:v>ewz.wassertop</c:v>
                </c:pt>
                <c:pt idx="4">
                  <c:v>Stromleiste</c:v>
                </c:pt>
              </c:strCache>
            </c:strRef>
          </c:cat>
          <c:val>
            <c:numRef>
              <c:f>[2]xx3!$F$5:$F$8</c:f>
              <c:numCache>
                <c:formatCode>General</c:formatCode>
                <c:ptCount val="4"/>
                <c:pt idx="0">
                  <c:v>39871.449999999997</c:v>
                </c:pt>
                <c:pt idx="1">
                  <c:v>19970.379999999997</c:v>
                </c:pt>
                <c:pt idx="2">
                  <c:v>18584.28</c:v>
                </c:pt>
                <c:pt idx="3">
                  <c:v>12656.04</c:v>
                </c:pt>
              </c:numCache>
            </c:numRef>
          </c:val>
        </c:ser>
        <c:ser>
          <c:idx val="1"/>
          <c:order val="1"/>
          <c:tx>
            <c:strRef>
              <c:f>[2]xx3!$D$4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7C8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 rot="-5400000" vert="horz"/>
              <a:lstStyle/>
              <a:p>
                <a:pPr>
                  <a:defRPr sz="1200" b="1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[2]xx3!$D$5:$D$8</c:f>
              <c:numCache>
                <c:formatCode>General</c:formatCode>
                <c:ptCount val="4"/>
                <c:pt idx="0">
                  <c:v>32671.45</c:v>
                </c:pt>
                <c:pt idx="1">
                  <c:v>12770.38</c:v>
                </c:pt>
                <c:pt idx="2">
                  <c:v>11384.28</c:v>
                </c:pt>
                <c:pt idx="3">
                  <c:v>5456.04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0450944"/>
        <c:axId val="90497792"/>
      </c:barChart>
      <c:catAx>
        <c:axId val="9045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90497792"/>
        <c:crosses val="autoZero"/>
        <c:auto val="1"/>
        <c:lblAlgn val="ctr"/>
        <c:lblOffset val="100"/>
        <c:noMultiLvlLbl val="0"/>
      </c:catAx>
      <c:valAx>
        <c:axId val="90497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Kosten in</a:t>
                </a:r>
                <a:r>
                  <a:rPr lang="de-CH" baseline="0"/>
                  <a:t> CHF</a:t>
                </a:r>
                <a:endParaRPr lang="de-CH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0450944"/>
        <c:crosses val="autoZero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3409142501401594"/>
          <c:y val="8.3848389674948245E-2"/>
          <c:w val="0.3154018525079022"/>
          <c:h val="3.81911103764382E-2"/>
        </c:manualLayout>
      </c:layout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Break-Even-Analyse</a:t>
            </a:r>
          </a:p>
        </c:rich>
      </c:tx>
      <c:layout>
        <c:manualLayout>
          <c:xMode val="edge"/>
          <c:yMode val="edge"/>
          <c:x val="0.42206973789100388"/>
          <c:y val="3.58974367500964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582469657799655E-2"/>
          <c:y val="0.10157416665530568"/>
          <c:w val="0.87082067359519644"/>
          <c:h val="0.84119599152494606"/>
        </c:manualLayout>
      </c:layout>
      <c:areaChart>
        <c:grouping val="standard"/>
        <c:varyColors val="0"/>
        <c:ser>
          <c:idx val="4"/>
          <c:order val="0"/>
          <c:tx>
            <c:strRef>
              <c:f>[2]Tabelle1!$B$36</c:f>
              <c:strCache>
                <c:ptCount val="1"/>
                <c:pt idx="0">
                  <c:v>Gewinn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cat>
            <c:numRef>
              <c:f>[2]Tabelle1!$C$30:$AG$30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[2]Tabelle1!$C$36:$AG$36</c:f>
              <c:numCache>
                <c:formatCode>General</c:formatCode>
                <c:ptCount val="31"/>
                <c:pt idx="0">
                  <c:v>-782.6</c:v>
                </c:pt>
                <c:pt idx="1">
                  <c:v>-500.40000000000003</c:v>
                </c:pt>
                <c:pt idx="2">
                  <c:v>-218.20000000000005</c:v>
                </c:pt>
                <c:pt idx="3">
                  <c:v>63.999999999999886</c:v>
                </c:pt>
                <c:pt idx="4">
                  <c:v>346.19999999999993</c:v>
                </c:pt>
                <c:pt idx="5">
                  <c:v>628.40000000000009</c:v>
                </c:pt>
                <c:pt idx="6">
                  <c:v>910.59999999999991</c:v>
                </c:pt>
                <c:pt idx="7">
                  <c:v>1192.8000000000002</c:v>
                </c:pt>
                <c:pt idx="8">
                  <c:v>1475</c:v>
                </c:pt>
                <c:pt idx="9">
                  <c:v>1757.1999999999998</c:v>
                </c:pt>
                <c:pt idx="10">
                  <c:v>2039.4</c:v>
                </c:pt>
                <c:pt idx="11">
                  <c:v>2321.6</c:v>
                </c:pt>
                <c:pt idx="12">
                  <c:v>2603.7999999999997</c:v>
                </c:pt>
                <c:pt idx="13">
                  <c:v>2885.9999999999995</c:v>
                </c:pt>
                <c:pt idx="14">
                  <c:v>3168.2000000000003</c:v>
                </c:pt>
                <c:pt idx="15">
                  <c:v>3450.4</c:v>
                </c:pt>
                <c:pt idx="16">
                  <c:v>3732.6</c:v>
                </c:pt>
                <c:pt idx="17">
                  <c:v>4014.7999999999997</c:v>
                </c:pt>
                <c:pt idx="18">
                  <c:v>4297</c:v>
                </c:pt>
                <c:pt idx="19">
                  <c:v>4579.2000000000007</c:v>
                </c:pt>
                <c:pt idx="20">
                  <c:v>4861.3999999999996</c:v>
                </c:pt>
                <c:pt idx="21">
                  <c:v>5143.6000000000004</c:v>
                </c:pt>
                <c:pt idx="22">
                  <c:v>5425.7999999999993</c:v>
                </c:pt>
                <c:pt idx="23">
                  <c:v>5708</c:v>
                </c:pt>
                <c:pt idx="24">
                  <c:v>5990.1999999999989</c:v>
                </c:pt>
                <c:pt idx="25">
                  <c:v>6272.4</c:v>
                </c:pt>
                <c:pt idx="26">
                  <c:v>6554.5999999999985</c:v>
                </c:pt>
                <c:pt idx="27">
                  <c:v>6836.7999999999993</c:v>
                </c:pt>
                <c:pt idx="28">
                  <c:v>7119</c:v>
                </c:pt>
                <c:pt idx="29">
                  <c:v>7401.1999999999989</c:v>
                </c:pt>
                <c:pt idx="30">
                  <c:v>7683.4</c:v>
                </c:pt>
              </c:numCache>
            </c:numRef>
          </c:val>
        </c:ser>
        <c:ser>
          <c:idx val="2"/>
          <c:order val="1"/>
          <c:tx>
            <c:strRef>
              <c:f>[2]Tabelle1!$B$34</c:f>
              <c:strCache>
                <c:ptCount val="1"/>
                <c:pt idx="0">
                  <c:v>variable Kosten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cat>
            <c:numRef>
              <c:f>[2]Tabelle1!$C$30:$AG$30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[2]Tabelle1!$C$34:$AG$34</c:f>
              <c:numCache>
                <c:formatCode>General</c:formatCode>
                <c:ptCount val="31"/>
                <c:pt idx="0">
                  <c:v>782.6</c:v>
                </c:pt>
                <c:pt idx="1">
                  <c:v>832.6</c:v>
                </c:pt>
                <c:pt idx="2">
                  <c:v>882.6</c:v>
                </c:pt>
                <c:pt idx="3">
                  <c:v>932.6</c:v>
                </c:pt>
                <c:pt idx="4">
                  <c:v>982.6</c:v>
                </c:pt>
                <c:pt idx="5">
                  <c:v>1032.5999999999999</c:v>
                </c:pt>
                <c:pt idx="6">
                  <c:v>1082.5999999999999</c:v>
                </c:pt>
                <c:pt idx="7">
                  <c:v>1132.5999999999999</c:v>
                </c:pt>
                <c:pt idx="8">
                  <c:v>1182.5999999999999</c:v>
                </c:pt>
                <c:pt idx="9">
                  <c:v>1232.5999999999999</c:v>
                </c:pt>
                <c:pt idx="10">
                  <c:v>1282.5999999999999</c:v>
                </c:pt>
                <c:pt idx="11">
                  <c:v>1332.6</c:v>
                </c:pt>
                <c:pt idx="12">
                  <c:v>1382.6</c:v>
                </c:pt>
                <c:pt idx="13">
                  <c:v>1432.6</c:v>
                </c:pt>
                <c:pt idx="14">
                  <c:v>1482.6</c:v>
                </c:pt>
                <c:pt idx="15">
                  <c:v>1532.6</c:v>
                </c:pt>
                <c:pt idx="16">
                  <c:v>1582.6</c:v>
                </c:pt>
                <c:pt idx="17">
                  <c:v>1632.6</c:v>
                </c:pt>
                <c:pt idx="18">
                  <c:v>1682.6</c:v>
                </c:pt>
                <c:pt idx="19">
                  <c:v>1732.6</c:v>
                </c:pt>
                <c:pt idx="20">
                  <c:v>1782.6</c:v>
                </c:pt>
                <c:pt idx="21">
                  <c:v>1832.6</c:v>
                </c:pt>
                <c:pt idx="22">
                  <c:v>1882.6</c:v>
                </c:pt>
                <c:pt idx="23">
                  <c:v>1932.6</c:v>
                </c:pt>
                <c:pt idx="24">
                  <c:v>1982.6</c:v>
                </c:pt>
                <c:pt idx="25">
                  <c:v>2032.6</c:v>
                </c:pt>
                <c:pt idx="26">
                  <c:v>2082.6</c:v>
                </c:pt>
                <c:pt idx="27">
                  <c:v>2132.6</c:v>
                </c:pt>
                <c:pt idx="28">
                  <c:v>2182.6</c:v>
                </c:pt>
                <c:pt idx="29">
                  <c:v>2232.6</c:v>
                </c:pt>
                <c:pt idx="30">
                  <c:v>2282.6</c:v>
                </c:pt>
              </c:numCache>
            </c:numRef>
          </c:val>
        </c:ser>
        <c:ser>
          <c:idx val="3"/>
          <c:order val="2"/>
          <c:tx>
            <c:strRef>
              <c:f>[2]Tabelle1!$B$35</c:f>
              <c:strCache>
                <c:ptCount val="1"/>
                <c:pt idx="0">
                  <c:v>fixe Kosten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</c:spPr>
          <c:cat>
            <c:numRef>
              <c:f>[2]Tabelle1!$C$30:$AG$30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[2]Tabelle1!$C$35:$AG$35</c:f>
              <c:numCache>
                <c:formatCode>General</c:formatCode>
                <c:ptCount val="31"/>
                <c:pt idx="0">
                  <c:v>782.6</c:v>
                </c:pt>
                <c:pt idx="1">
                  <c:v>782.6</c:v>
                </c:pt>
                <c:pt idx="2">
                  <c:v>782.6</c:v>
                </c:pt>
                <c:pt idx="3">
                  <c:v>782.6</c:v>
                </c:pt>
                <c:pt idx="4">
                  <c:v>782.6</c:v>
                </c:pt>
                <c:pt idx="5">
                  <c:v>782.6</c:v>
                </c:pt>
                <c:pt idx="6">
                  <c:v>782.6</c:v>
                </c:pt>
                <c:pt idx="7">
                  <c:v>782.6</c:v>
                </c:pt>
                <c:pt idx="8">
                  <c:v>782.6</c:v>
                </c:pt>
                <c:pt idx="9">
                  <c:v>782.6</c:v>
                </c:pt>
                <c:pt idx="10">
                  <c:v>782.6</c:v>
                </c:pt>
                <c:pt idx="11">
                  <c:v>782.6</c:v>
                </c:pt>
                <c:pt idx="12">
                  <c:v>782.6</c:v>
                </c:pt>
                <c:pt idx="13">
                  <c:v>782.6</c:v>
                </c:pt>
                <c:pt idx="14">
                  <c:v>782.6</c:v>
                </c:pt>
                <c:pt idx="15">
                  <c:v>782.6</c:v>
                </c:pt>
                <c:pt idx="16">
                  <c:v>782.6</c:v>
                </c:pt>
                <c:pt idx="17">
                  <c:v>782.6</c:v>
                </c:pt>
                <c:pt idx="18">
                  <c:v>782.6</c:v>
                </c:pt>
                <c:pt idx="19">
                  <c:v>782.6</c:v>
                </c:pt>
                <c:pt idx="20">
                  <c:v>782.6</c:v>
                </c:pt>
                <c:pt idx="21">
                  <c:v>782.6</c:v>
                </c:pt>
                <c:pt idx="22">
                  <c:v>782.6</c:v>
                </c:pt>
                <c:pt idx="23">
                  <c:v>782.6</c:v>
                </c:pt>
                <c:pt idx="24">
                  <c:v>782.6</c:v>
                </c:pt>
                <c:pt idx="25">
                  <c:v>782.6</c:v>
                </c:pt>
                <c:pt idx="26">
                  <c:v>782.6</c:v>
                </c:pt>
                <c:pt idx="27">
                  <c:v>782.6</c:v>
                </c:pt>
                <c:pt idx="28">
                  <c:v>782.6</c:v>
                </c:pt>
                <c:pt idx="29">
                  <c:v>782.6</c:v>
                </c:pt>
                <c:pt idx="30">
                  <c:v>782.6</c:v>
                </c:pt>
              </c:numCache>
            </c:numRef>
          </c:val>
        </c:ser>
        <c:ser>
          <c:idx val="1"/>
          <c:order val="3"/>
          <c:tx>
            <c:strRef>
              <c:f>[2]Tabelle1!$B$33</c:f>
              <c:strCache>
                <c:ptCount val="1"/>
                <c:pt idx="0">
                  <c:v>Gesamtkosten</c:v>
                </c:pt>
              </c:strCache>
            </c:strRef>
          </c:tx>
          <c:spPr>
            <a:noFill/>
            <a:ln w="38100">
              <a:solidFill>
                <a:srgbClr val="FF0000"/>
              </a:solidFill>
            </a:ln>
          </c:spPr>
          <c:cat>
            <c:numRef>
              <c:f>[2]Tabelle1!$C$30:$AG$30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[2]Tabelle1!$C$33:$AG$33</c:f>
              <c:numCache>
                <c:formatCode>General</c:formatCode>
                <c:ptCount val="31"/>
                <c:pt idx="0">
                  <c:v>782.6</c:v>
                </c:pt>
                <c:pt idx="1">
                  <c:v>832.6</c:v>
                </c:pt>
                <c:pt idx="2">
                  <c:v>882.6</c:v>
                </c:pt>
                <c:pt idx="3">
                  <c:v>932.6</c:v>
                </c:pt>
                <c:pt idx="4">
                  <c:v>982.6</c:v>
                </c:pt>
                <c:pt idx="5">
                  <c:v>1032.5999999999999</c:v>
                </c:pt>
                <c:pt idx="6">
                  <c:v>1082.5999999999999</c:v>
                </c:pt>
                <c:pt idx="7">
                  <c:v>1132.5999999999999</c:v>
                </c:pt>
                <c:pt idx="8">
                  <c:v>1182.5999999999999</c:v>
                </c:pt>
                <c:pt idx="9">
                  <c:v>1232.5999999999999</c:v>
                </c:pt>
                <c:pt idx="10">
                  <c:v>1282.5999999999999</c:v>
                </c:pt>
                <c:pt idx="11">
                  <c:v>1332.6</c:v>
                </c:pt>
                <c:pt idx="12">
                  <c:v>1382.6</c:v>
                </c:pt>
                <c:pt idx="13">
                  <c:v>1432.6</c:v>
                </c:pt>
                <c:pt idx="14">
                  <c:v>1482.6</c:v>
                </c:pt>
                <c:pt idx="15">
                  <c:v>1532.6</c:v>
                </c:pt>
                <c:pt idx="16">
                  <c:v>1582.6</c:v>
                </c:pt>
                <c:pt idx="17">
                  <c:v>1632.6</c:v>
                </c:pt>
                <c:pt idx="18">
                  <c:v>1682.6</c:v>
                </c:pt>
                <c:pt idx="19">
                  <c:v>1732.6</c:v>
                </c:pt>
                <c:pt idx="20">
                  <c:v>1782.6</c:v>
                </c:pt>
                <c:pt idx="21">
                  <c:v>1832.6</c:v>
                </c:pt>
                <c:pt idx="22">
                  <c:v>1882.6</c:v>
                </c:pt>
                <c:pt idx="23">
                  <c:v>1932.6</c:v>
                </c:pt>
                <c:pt idx="24">
                  <c:v>1982.6</c:v>
                </c:pt>
                <c:pt idx="25">
                  <c:v>2032.6</c:v>
                </c:pt>
                <c:pt idx="26">
                  <c:v>2082.6</c:v>
                </c:pt>
                <c:pt idx="27">
                  <c:v>2132.6</c:v>
                </c:pt>
                <c:pt idx="28">
                  <c:v>2182.6</c:v>
                </c:pt>
                <c:pt idx="29">
                  <c:v>2232.6</c:v>
                </c:pt>
                <c:pt idx="30">
                  <c:v>2282.6</c:v>
                </c:pt>
              </c:numCache>
            </c:numRef>
          </c:val>
        </c:ser>
        <c:ser>
          <c:idx val="0"/>
          <c:order val="4"/>
          <c:tx>
            <c:strRef>
              <c:f>[2]Tabelle1!$B$32</c:f>
              <c:strCache>
                <c:ptCount val="1"/>
                <c:pt idx="0">
                  <c:v>Erlöse</c:v>
                </c:pt>
              </c:strCache>
            </c:strRef>
          </c:tx>
          <c:spPr>
            <a:noFill/>
            <a:ln w="38100">
              <a:solidFill>
                <a:srgbClr val="008000"/>
              </a:solidFill>
            </a:ln>
          </c:spPr>
          <c:cat>
            <c:numRef>
              <c:f>[2]Tabelle1!$C$30:$AG$30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[2]Tabelle1!$C$32:$AG$32</c:f>
              <c:numCache>
                <c:formatCode>General</c:formatCode>
                <c:ptCount val="31"/>
                <c:pt idx="0">
                  <c:v>-782.6</c:v>
                </c:pt>
                <c:pt idx="1">
                  <c:v>-500.40000000000003</c:v>
                </c:pt>
                <c:pt idx="2">
                  <c:v>-218.20000000000005</c:v>
                </c:pt>
                <c:pt idx="3">
                  <c:v>63.999999999999886</c:v>
                </c:pt>
                <c:pt idx="4">
                  <c:v>346.19999999999993</c:v>
                </c:pt>
                <c:pt idx="5">
                  <c:v>628.40000000000009</c:v>
                </c:pt>
                <c:pt idx="6">
                  <c:v>910.59999999999991</c:v>
                </c:pt>
                <c:pt idx="7">
                  <c:v>1192.8000000000002</c:v>
                </c:pt>
                <c:pt idx="8">
                  <c:v>1475</c:v>
                </c:pt>
                <c:pt idx="9">
                  <c:v>1757.1999999999998</c:v>
                </c:pt>
                <c:pt idx="10">
                  <c:v>2039.4</c:v>
                </c:pt>
                <c:pt idx="11">
                  <c:v>2321.6</c:v>
                </c:pt>
                <c:pt idx="12">
                  <c:v>2603.7999999999997</c:v>
                </c:pt>
                <c:pt idx="13">
                  <c:v>2885.9999999999995</c:v>
                </c:pt>
                <c:pt idx="14">
                  <c:v>3168.2000000000003</c:v>
                </c:pt>
                <c:pt idx="15">
                  <c:v>3450.4</c:v>
                </c:pt>
                <c:pt idx="16">
                  <c:v>3732.6</c:v>
                </c:pt>
                <c:pt idx="17">
                  <c:v>4014.7999999999997</c:v>
                </c:pt>
                <c:pt idx="18">
                  <c:v>4297</c:v>
                </c:pt>
                <c:pt idx="19">
                  <c:v>4579.2000000000007</c:v>
                </c:pt>
                <c:pt idx="20">
                  <c:v>4861.3999999999996</c:v>
                </c:pt>
                <c:pt idx="21">
                  <c:v>5143.6000000000004</c:v>
                </c:pt>
                <c:pt idx="22">
                  <c:v>5425.7999999999993</c:v>
                </c:pt>
                <c:pt idx="23">
                  <c:v>5708</c:v>
                </c:pt>
                <c:pt idx="24">
                  <c:v>5990.1999999999989</c:v>
                </c:pt>
                <c:pt idx="25">
                  <c:v>6272.4</c:v>
                </c:pt>
                <c:pt idx="26">
                  <c:v>6554.5999999999985</c:v>
                </c:pt>
                <c:pt idx="27">
                  <c:v>6836.7999999999993</c:v>
                </c:pt>
                <c:pt idx="28">
                  <c:v>7119</c:v>
                </c:pt>
                <c:pt idx="29">
                  <c:v>7401.1999999999989</c:v>
                </c:pt>
                <c:pt idx="30">
                  <c:v>7683.4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09696"/>
        <c:axId val="90511616"/>
      </c:areaChart>
      <c:catAx>
        <c:axId val="9050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Monate</a:t>
                </a:r>
              </a:p>
            </c:rich>
          </c:tx>
          <c:layout>
            <c:manualLayout>
              <c:xMode val="edge"/>
              <c:yMode val="edge"/>
              <c:x val="0.47838112046235881"/>
              <c:y val="0.949104783769902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0511616"/>
        <c:crosses val="autoZero"/>
        <c:auto val="1"/>
        <c:lblAlgn val="ctr"/>
        <c:lblOffset val="100"/>
        <c:noMultiLvlLbl val="0"/>
      </c:catAx>
      <c:valAx>
        <c:axId val="90511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CH"/>
                  <a:t>Kosten in CHF</a:t>
                </a:r>
              </a:p>
            </c:rich>
          </c:tx>
          <c:layout>
            <c:manualLayout>
              <c:xMode val="edge"/>
              <c:yMode val="edge"/>
              <c:x val="8.1931237542312331E-3"/>
              <c:y val="0.4353476190389097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0509696"/>
        <c:crosses val="autoZero"/>
        <c:crossBetween val="midCat"/>
      </c:valAx>
      <c:spPr>
        <a:noFill/>
      </c:spPr>
    </c:plotArea>
    <c:plotVisOnly val="1"/>
    <c:dispBlanksAs val="zero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5"/>
  </sheetPr>
  <sheetViews>
    <sheetView zoomScale="124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4"/>
  </sheetPr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7"/>
  </sheetPr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tabSelected="1" zoomScale="122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8740157499999996" bottom="0.78740157499999996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67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14577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0.91345</cdr:x>
      <cdr:y>0.24955</cdr:y>
    </cdr:from>
    <cdr:to>
      <cdr:x>0.91449</cdr:x>
      <cdr:y>0.79345</cdr:y>
    </cdr:to>
    <cdr:cxnSp macro="">
      <cdr:nvCxnSpPr>
        <cdr:cNvPr id="10" name="Gerade Verbindung 9"/>
        <cdr:cNvCxnSpPr/>
      </cdr:nvCxnSpPr>
      <cdr:spPr>
        <a:xfrm xmlns:a="http://schemas.openxmlformats.org/drawingml/2006/main" flipH="1" flipV="1">
          <a:off x="8495530" y="1500909"/>
          <a:ext cx="9622" cy="3271212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0.90096</cdr:x>
      <cdr:y>0.22544</cdr:y>
    </cdr:from>
    <cdr:to>
      <cdr:x>0.92372</cdr:x>
      <cdr:y>0.26863</cdr:y>
    </cdr:to>
    <cdr:sp macro="" textlink="">
      <cdr:nvSpPr>
        <cdr:cNvPr id="11" name="Multiplizieren 10"/>
        <cdr:cNvSpPr/>
      </cdr:nvSpPr>
      <cdr:spPr>
        <a:xfrm xmlns:a="http://schemas.openxmlformats.org/drawingml/2006/main">
          <a:off x="8379337" y="1355852"/>
          <a:ext cx="211666" cy="259774"/>
        </a:xfrm>
        <a:prstGeom xmlns:a="http://schemas.openxmlformats.org/drawingml/2006/main" prst="mathMultiply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0.28581</cdr:x>
      <cdr:y>0.68512</cdr:y>
    </cdr:from>
    <cdr:to>
      <cdr:x>0.30857</cdr:x>
      <cdr:y>0.72831</cdr:y>
    </cdr:to>
    <cdr:sp macro="" textlink="">
      <cdr:nvSpPr>
        <cdr:cNvPr id="12" name="Multiplizieren 11"/>
        <cdr:cNvSpPr/>
      </cdr:nvSpPr>
      <cdr:spPr>
        <a:xfrm xmlns:a="http://schemas.openxmlformats.org/drawingml/2006/main">
          <a:off x="2658148" y="4120572"/>
          <a:ext cx="211666" cy="259774"/>
        </a:xfrm>
        <a:prstGeom xmlns:a="http://schemas.openxmlformats.org/drawingml/2006/main" prst="mathMultiply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0.19655</cdr:x>
      <cdr:y>0.65588</cdr:y>
    </cdr:from>
    <cdr:to>
      <cdr:x>0.35897</cdr:x>
      <cdr:y>0.71987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1828031" y="3944697"/>
          <a:ext cx="1510530" cy="384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Breakeven-Point</a:t>
          </a:r>
        </a:p>
      </cdr:txBody>
    </cdr:sp>
  </cdr:relSizeAnchor>
  <cdr:relSizeAnchor xmlns:cdr="http://schemas.openxmlformats.org/drawingml/2006/chartDrawing">
    <cdr:from>
      <cdr:x>0.59512</cdr:x>
      <cdr:y>0.18601</cdr:y>
    </cdr:from>
    <cdr:to>
      <cdr:x>0.75753</cdr:x>
      <cdr:y>0.25</cdr:y>
    </cdr:to>
    <cdr:sp macro="" textlink="">
      <cdr:nvSpPr>
        <cdr:cNvPr id="14" name="Textfeld 1"/>
        <cdr:cNvSpPr txBox="1"/>
      </cdr:nvSpPr>
      <cdr:spPr>
        <a:xfrm xmlns:a="http://schemas.openxmlformats.org/drawingml/2006/main">
          <a:off x="5534891" y="1118755"/>
          <a:ext cx="1510530" cy="384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0.72549</cdr:x>
      <cdr:y>0.16834</cdr:y>
    </cdr:from>
    <cdr:to>
      <cdr:x>0.94608</cdr:x>
      <cdr:y>0.30234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5" name="Textfeld 1"/>
            <cdr:cNvSpPr txBox="1"/>
          </cdr:nvSpPr>
          <cdr:spPr>
            <a:xfrm xmlns:a="http://schemas.openxmlformats.org/drawingml/2006/main">
              <a:off x="6747431" y="1012447"/>
              <a:ext cx="2051538" cy="80596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de-CH" sz="1100"/>
                <a:t>Nach 4</a:t>
              </a:r>
              <a14:m>
                <m:oMath xmlns:m="http://schemas.openxmlformats.org/officeDocument/2006/math">
                  <m:f>
                    <m:fPr>
                      <m:type m:val="skw"/>
                      <m:ctrlPr>
                        <a:rPr kumimoji="0" lang="de-CH" sz="8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kumimoji="0" lang="de-CH" sz="8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/>
                          <a:ea typeface="+mn-ea"/>
                          <a:cs typeface="+mn-cs"/>
                        </a:rPr>
                        <m:t>1</m:t>
                      </m:r>
                    </m:num>
                    <m:den>
                      <m:r>
                        <a:rPr kumimoji="0" lang="de-CH" sz="8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/>
                          <a:ea typeface="+mn-ea"/>
                          <a:cs typeface="+mn-cs"/>
                        </a:rPr>
                        <m:t>2</m:t>
                      </m:r>
                    </m:den>
                  </m:f>
                </m:oMath>
              </a14:m>
              <a:r>
                <a:rPr lang="de-CH" sz="1100"/>
                <a:t> Jahren sind</a:t>
              </a:r>
              <a:r>
                <a:rPr lang="de-CH" sz="1100" baseline="0"/>
                <a:t> die Kosten </a:t>
              </a:r>
            </a:p>
            <a:p xmlns:a="http://schemas.openxmlformats.org/drawingml/2006/main">
              <a:pPr algn="l"/>
              <a:r>
                <a:rPr lang="de-CH" sz="1100" baseline="0"/>
                <a:t>der Steckdosenleisten im Wert von CHF 7200.00 gedeckt.</a:t>
              </a:r>
              <a:endParaRPr lang="de-CH" sz="800"/>
            </a:p>
          </cdr:txBody>
        </cdr:sp>
      </mc:Choice>
      <mc:Fallback xmlns="">
        <cdr:sp macro="" textlink="">
          <cdr:nvSpPr>
            <cdr:cNvPr id="15" name="Textfeld 1"/>
            <cdr:cNvSpPr txBox="1"/>
          </cdr:nvSpPr>
          <cdr:spPr>
            <a:xfrm xmlns:a="http://schemas.openxmlformats.org/drawingml/2006/main">
              <a:off x="6747431" y="1012447"/>
              <a:ext cx="2051538" cy="80596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de-CH" sz="1100"/>
                <a:t>Nach 4</a:t>
              </a:r>
              <a:r>
                <a:rPr kumimoji="0" lang="de-CH" sz="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1⁄2</a:t>
              </a:r>
              <a:r>
                <a:rPr lang="de-CH" sz="1100"/>
                <a:t> Jahren sind</a:t>
              </a:r>
              <a:r>
                <a:rPr lang="de-CH" sz="1100" baseline="0"/>
                <a:t> die Kosten </a:t>
              </a:r>
            </a:p>
            <a:p xmlns:a="http://schemas.openxmlformats.org/drawingml/2006/main">
              <a:pPr algn="l"/>
              <a:r>
                <a:rPr lang="de-CH" sz="1100" baseline="0"/>
                <a:t>der Steckdosenleisten im Wert von CHF 7200.00 gedeckt.</a:t>
              </a:r>
              <a:endParaRPr lang="de-CH" sz="800"/>
            </a:p>
          </cdr:txBody>
        </cdr:sp>
      </mc:Fallback>
    </mc:AlternateContent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14577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14577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0.56413</cdr:x>
      <cdr:y>0.07099</cdr:y>
    </cdr:from>
    <cdr:to>
      <cdr:x>0.80211</cdr:x>
      <cdr:y>0.3811</cdr:y>
    </cdr:to>
    <cdr:sp macro="" textlink="">
      <cdr:nvSpPr>
        <cdr:cNvPr id="3" name="Flussdiagramm: Prozess 2"/>
        <cdr:cNvSpPr/>
      </cdr:nvSpPr>
      <cdr:spPr>
        <a:xfrm xmlns:a="http://schemas.openxmlformats.org/drawingml/2006/main">
          <a:off x="5250695" y="427488"/>
          <a:ext cx="2215035" cy="1867461"/>
        </a:xfrm>
        <a:prstGeom xmlns:a="http://schemas.openxmlformats.org/drawingml/2006/main" prst="flowChartProcess">
          <a:avLst/>
        </a:prstGeom>
        <a:pattFill xmlns:a="http://schemas.openxmlformats.org/drawingml/2006/main" prst="wdDnDiag">
          <a:fgClr>
            <a:schemeClr val="bg1">
              <a:lumMod val="75000"/>
            </a:schemeClr>
          </a:fgClr>
          <a:bgClr>
            <a:schemeClr val="bg1"/>
          </a:bgClr>
        </a:pattFill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de-DE" sz="1800" b="1">
              <a:solidFill>
                <a:sysClr val="windowText" lastClr="000000"/>
              </a:solidFill>
            </a:rPr>
            <a:t>20723.51</a:t>
          </a:r>
          <a:r>
            <a:rPr lang="de-DE" sz="1800" b="1" baseline="0">
              <a:solidFill>
                <a:sysClr val="windowText" lastClr="000000"/>
              </a:solidFill>
            </a:rPr>
            <a:t> kwh</a:t>
          </a:r>
          <a:endParaRPr lang="de-DE" sz="1800" b="1">
            <a:solidFill>
              <a:sysClr val="windowText" lastClr="00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14577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1754" cy="601354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0-Abt\SI\50-Alle\Dokumentationen\Hardware\Hardware_Doku_Inventar_ab_01_04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limawerkstatt\Stromverbrauch_Hardwar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dware Inventar"/>
      <sheetName val="Daten zu Listen"/>
      <sheetName val="Ausgemustert"/>
      <sheetName val="Kostenstellen"/>
      <sheetName val="Telefonliste"/>
    </sheetNames>
    <sheetDataSet>
      <sheetData sheetId="0" refreshError="1"/>
      <sheetData sheetId="1">
        <row r="89">
          <cell r="E89" t="str">
            <v>Gerät</v>
          </cell>
        </row>
        <row r="90">
          <cell r="E90" t="str">
            <v>./.</v>
          </cell>
        </row>
        <row r="91">
          <cell r="E91" t="str">
            <v>Claxan KMP2PC</v>
          </cell>
        </row>
        <row r="92">
          <cell r="E92" t="str">
            <v>Compaq 8510p</v>
          </cell>
        </row>
        <row r="93">
          <cell r="E93" t="str">
            <v>Compaq Evo D510 CMT</v>
          </cell>
        </row>
        <row r="94">
          <cell r="E94" t="str">
            <v>Compaq Evo D530 CMT</v>
          </cell>
        </row>
        <row r="95">
          <cell r="E95" t="str">
            <v>Compaq Evo D530 CMT (a)</v>
          </cell>
        </row>
        <row r="96">
          <cell r="E96" t="str">
            <v>Compaq nc8000</v>
          </cell>
        </row>
        <row r="97">
          <cell r="E97" t="str">
            <v>Dockingstation Laptop 8510p</v>
          </cell>
        </row>
        <row r="98">
          <cell r="E98" t="str">
            <v>Dockingstation Laptop 8530p</v>
          </cell>
        </row>
        <row r="99">
          <cell r="E99" t="str">
            <v>Dockingstation Laptop 8540p</v>
          </cell>
        </row>
        <row r="100">
          <cell r="E100" t="str">
            <v>EliteBook2170p</v>
          </cell>
        </row>
        <row r="101">
          <cell r="E101" t="str">
            <v>EliteBook2540p</v>
          </cell>
        </row>
        <row r="102">
          <cell r="E102" t="str">
            <v>EliteBook2560p</v>
          </cell>
        </row>
        <row r="103">
          <cell r="E103" t="str">
            <v>EliteBook2760p</v>
          </cell>
        </row>
        <row r="104">
          <cell r="E104" t="str">
            <v>EliteBook8530p</v>
          </cell>
        </row>
        <row r="105">
          <cell r="E105" t="str">
            <v>EliteBook8540p</v>
          </cell>
        </row>
        <row r="106">
          <cell r="E106" t="str">
            <v>EliteBook8570p</v>
          </cell>
        </row>
        <row r="107">
          <cell r="E107" t="str">
            <v>Epson EMP-7250</v>
          </cell>
        </row>
        <row r="108">
          <cell r="E108" t="str">
            <v>Epson EMP-830</v>
          </cell>
        </row>
        <row r="109">
          <cell r="E109" t="str">
            <v>Evolis Pebble4 Basic Ethernet</v>
          </cell>
        </row>
        <row r="110">
          <cell r="E110" t="str">
            <v>Flash Memory Card Reader/Writer</v>
          </cell>
        </row>
        <row r="111">
          <cell r="E111" t="str">
            <v>HP Compaq dc7600</v>
          </cell>
        </row>
        <row r="112">
          <cell r="E112" t="str">
            <v>HP Compaq dc7800 SFF</v>
          </cell>
        </row>
        <row r="113">
          <cell r="E113" t="str">
            <v>HP Compaq dc7800 USDT</v>
          </cell>
        </row>
        <row r="114">
          <cell r="E114" t="str">
            <v>HP Compaq dc7900 USDT</v>
          </cell>
        </row>
        <row r="115">
          <cell r="E115" t="str">
            <v>HP Compaq Elite  dc8000 USDT</v>
          </cell>
        </row>
        <row r="116">
          <cell r="E116" t="str">
            <v>HP DesignJet 1050C</v>
          </cell>
        </row>
        <row r="117">
          <cell r="E117" t="str">
            <v>HP Deskjet 450 cbi</v>
          </cell>
        </row>
        <row r="118">
          <cell r="E118" t="str">
            <v>HP Docking Station zu 8510 Modell</v>
          </cell>
        </row>
        <row r="119">
          <cell r="E119" t="str">
            <v>HP Elitebook Folio 9470m</v>
          </cell>
        </row>
        <row r="120">
          <cell r="E120" t="str">
            <v>HP Elitebook Folio 9470m (2)</v>
          </cell>
        </row>
        <row r="121">
          <cell r="E121" t="str">
            <v>HP Elitebook Folio 9470m (3)</v>
          </cell>
        </row>
        <row r="122">
          <cell r="E122" t="str">
            <v>HP EliteDesk 800</v>
          </cell>
        </row>
        <row r="123">
          <cell r="E123" t="str">
            <v>HP EliteDesk 800 G1</v>
          </cell>
        </row>
        <row r="124">
          <cell r="E124" t="str">
            <v>HP ElitePad 900</v>
          </cell>
        </row>
        <row r="125">
          <cell r="E125" t="str">
            <v>HP iPaq 214</v>
          </cell>
        </row>
        <row r="126">
          <cell r="E126" t="str">
            <v>HP Laserjet 2430 Series</v>
          </cell>
        </row>
        <row r="127">
          <cell r="E127" t="str">
            <v>HP Laserjet 4250 DTN</v>
          </cell>
        </row>
        <row r="128">
          <cell r="E128" t="str">
            <v>HP Laserjet 4345mfp Series</v>
          </cell>
        </row>
        <row r="129">
          <cell r="E129" t="str">
            <v>HP Laserjet 4600 Color</v>
          </cell>
        </row>
        <row r="130">
          <cell r="E130" t="str">
            <v>HP Laserjet 500 Color M551</v>
          </cell>
        </row>
        <row r="131">
          <cell r="E131" t="str">
            <v>HP Laserjet 500 Color MFP M575</v>
          </cell>
        </row>
        <row r="132">
          <cell r="E132" t="str">
            <v>HP Laserjet 600 M602</v>
          </cell>
        </row>
        <row r="133">
          <cell r="E133" t="str">
            <v>HP Laserjet 700 Color MFP M775</v>
          </cell>
        </row>
        <row r="134">
          <cell r="E134" t="str">
            <v>HP LaserJet Color 5550 DTN</v>
          </cell>
        </row>
        <row r="135">
          <cell r="E135" t="str">
            <v>HP LaserJet Color CM2320NF</v>
          </cell>
        </row>
        <row r="136">
          <cell r="E136" t="str">
            <v>HP Laserjet Color MFP 880</v>
          </cell>
        </row>
        <row r="137">
          <cell r="E137" t="str">
            <v>HP LaserJet Color Pro CP1525N</v>
          </cell>
        </row>
        <row r="138">
          <cell r="E138" t="str">
            <v>HP Laserjet P2055dn</v>
          </cell>
        </row>
        <row r="139">
          <cell r="E139" t="str">
            <v>HP Laserjet P4014</v>
          </cell>
        </row>
        <row r="140">
          <cell r="E140" t="str">
            <v>HP Port Replicator Advanced Evo</v>
          </cell>
        </row>
        <row r="141">
          <cell r="E141" t="str">
            <v>HP Scanjet N6350</v>
          </cell>
        </row>
        <row r="142">
          <cell r="E142" t="str">
            <v>HP Slate 2 Atom</v>
          </cell>
        </row>
        <row r="143">
          <cell r="E143" t="str">
            <v>HP Smart  Client t510</v>
          </cell>
        </row>
        <row r="144">
          <cell r="E144" t="str">
            <v>HP Smart  Client t5745</v>
          </cell>
        </row>
        <row r="145">
          <cell r="E145" t="str">
            <v>HP Smart  Client t5565z</v>
          </cell>
        </row>
        <row r="146">
          <cell r="E146" t="str">
            <v>HP Workstation Z220</v>
          </cell>
        </row>
        <row r="147">
          <cell r="E147" t="str">
            <v>HP Zero Client t310</v>
          </cell>
        </row>
        <row r="148">
          <cell r="E148" t="str">
            <v xml:space="preserve">iPad 3  32GB, 4G </v>
          </cell>
        </row>
        <row r="149">
          <cell r="E149" t="str">
            <v>Logitech Presenter</v>
          </cell>
        </row>
        <row r="150">
          <cell r="E150" t="str">
            <v>M10 CopyBoard</v>
          </cell>
        </row>
        <row r="151">
          <cell r="E151" t="str">
            <v>Nec V462 Monitor</v>
          </cell>
        </row>
        <row r="152">
          <cell r="E152" t="str">
            <v>Samsung Syncmaster 173T</v>
          </cell>
        </row>
        <row r="153">
          <cell r="E153" t="str">
            <v>Samsung Syncmaster 191T</v>
          </cell>
        </row>
        <row r="154">
          <cell r="E154" t="str">
            <v>Samsung SyncMaster 2243BW</v>
          </cell>
        </row>
        <row r="155">
          <cell r="E155" t="str">
            <v>Samsung SyncMaster 244T</v>
          </cell>
        </row>
        <row r="156">
          <cell r="E156" t="str">
            <v>Samsung SyncMaster 245T</v>
          </cell>
        </row>
        <row r="157">
          <cell r="E157" t="str">
            <v>Samsung SyncMaster 2494HM</v>
          </cell>
        </row>
        <row r="158">
          <cell r="E158" t="str">
            <v>Samsung Syncmaster 910TM</v>
          </cell>
        </row>
        <row r="159">
          <cell r="E159" t="str">
            <v>Samsung Syncmaster 943T</v>
          </cell>
        </row>
        <row r="160">
          <cell r="E160" t="str">
            <v>Samsung SyncMaster B2440</v>
          </cell>
        </row>
        <row r="161">
          <cell r="E161" t="str">
            <v>Samsung SyncMaster B2440H</v>
          </cell>
        </row>
        <row r="162">
          <cell r="E162" t="str">
            <v>Samsung SyncMaster S23C650D</v>
          </cell>
        </row>
        <row r="163">
          <cell r="E163" t="str">
            <v>Samsung SyncMaster S24A450MW</v>
          </cell>
        </row>
        <row r="164">
          <cell r="E164" t="str">
            <v>Samsung SyncMaster S24C450KMWV</v>
          </cell>
        </row>
        <row r="165">
          <cell r="E165" t="str">
            <v>Samsung SyncMaster S24C450MW</v>
          </cell>
        </row>
        <row r="166">
          <cell r="E166" t="str">
            <v>Samsung SyncMaster S24C450MW (2)</v>
          </cell>
        </row>
        <row r="167">
          <cell r="E167" t="str">
            <v>Sanyo PLC-XU 41</v>
          </cell>
        </row>
        <row r="168">
          <cell r="E168" t="str">
            <v>Zebra QL 320</v>
          </cell>
        </row>
        <row r="169">
          <cell r="E169" t="str">
            <v>HP LaserJet Flow MFP M630z</v>
          </cell>
        </row>
        <row r="170">
          <cell r="E170" t="str">
            <v>Samsung Galaxy Tab 4 16GB</v>
          </cell>
        </row>
        <row r="171">
          <cell r="E171" t="str">
            <v>Getac Z710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mverbrauch"/>
      <sheetName val="ewz.basis"/>
      <sheetName val="ewz.basis Diagramm"/>
      <sheetName val="ewz.ökopower"/>
      <sheetName val="ewz.ökopower Diagramm"/>
      <sheetName val="ewz.wassertop"/>
      <sheetName val="ewz.wassertop Diagramm"/>
      <sheetName val="ewz.solartop"/>
      <sheetName val="ewz.solartop Diagramm"/>
      <sheetName val="Kosten"/>
      <sheetName val="Kreisdiagramm"/>
      <sheetName val="Strom"/>
      <sheetName val="1 Mal"/>
      <sheetName val="Mitarbeiter"/>
      <sheetName val="xx3"/>
      <sheetName val="xx1"/>
      <sheetName val="Break-Even-Analyse"/>
      <sheetName val="Tarife und Zeiten"/>
      <sheetName val="Tabelle1"/>
    </sheetNames>
    <sheetDataSet>
      <sheetData sheetId="0"/>
      <sheetData sheetId="1">
        <row r="35">
          <cell r="A35" t="str">
            <v>SyncMaster B2440H</v>
          </cell>
        </row>
      </sheetData>
      <sheetData sheetId="2" refreshError="1"/>
      <sheetData sheetId="3">
        <row r="35">
          <cell r="A35" t="str">
            <v>SyncMaster B2440H</v>
          </cell>
        </row>
      </sheetData>
      <sheetData sheetId="4" refreshError="1"/>
      <sheetData sheetId="5">
        <row r="35">
          <cell r="A35" t="str">
            <v>SyncMaster B2440H</v>
          </cell>
        </row>
      </sheetData>
      <sheetData sheetId="6" refreshError="1"/>
      <sheetData sheetId="7">
        <row r="112">
          <cell r="C112">
            <v>14794.968289180342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D4" t="str">
            <v>Total</v>
          </cell>
        </row>
        <row r="5">
          <cell r="B5" t="str">
            <v>ewz.solartop</v>
          </cell>
          <cell r="D5">
            <v>32671.45</v>
          </cell>
          <cell r="E5">
            <v>24860.35</v>
          </cell>
          <cell r="F5">
            <v>39871.449999999997</v>
          </cell>
        </row>
        <row r="6">
          <cell r="B6" t="str">
            <v>ewz.ökopower</v>
          </cell>
          <cell r="D6">
            <v>12770.38</v>
          </cell>
          <cell r="E6">
            <v>10446.56</v>
          </cell>
          <cell r="F6">
            <v>19970.379999999997</v>
          </cell>
        </row>
        <row r="7">
          <cell r="B7" t="str">
            <v xml:space="preserve">ewz.basis </v>
          </cell>
          <cell r="D7">
            <v>11384.28</v>
          </cell>
          <cell r="E7">
            <v>9391.2000000000007</v>
          </cell>
          <cell r="F7">
            <v>18584.28</v>
          </cell>
        </row>
        <row r="8">
          <cell r="B8" t="str">
            <v>ewz.wassertop</v>
          </cell>
          <cell r="D8">
            <v>5456.04</v>
          </cell>
          <cell r="E8">
            <v>4396.88</v>
          </cell>
          <cell r="F8">
            <v>12656.04</v>
          </cell>
        </row>
        <row r="11">
          <cell r="B11" t="str">
            <v>Stromleiste</v>
          </cell>
        </row>
      </sheetData>
      <sheetData sheetId="15">
        <row r="3">
          <cell r="B3" t="str">
            <v>kwh ohne Steckdosenleiste</v>
          </cell>
          <cell r="D3" t="str">
            <v>kwh mit Steckdosenleiste</v>
          </cell>
        </row>
        <row r="4">
          <cell r="B4">
            <v>56823.67</v>
          </cell>
          <cell r="D4">
            <v>36100.160000000003</v>
          </cell>
        </row>
      </sheetData>
      <sheetData sheetId="16" refreshError="1"/>
      <sheetData sheetId="17" refreshError="1"/>
      <sheetData sheetId="18">
        <row r="30">
          <cell r="C30">
            <v>0</v>
          </cell>
          <cell r="D30">
            <v>2</v>
          </cell>
          <cell r="E30">
            <v>4</v>
          </cell>
          <cell r="F30">
            <v>6</v>
          </cell>
          <cell r="G30">
            <v>8</v>
          </cell>
          <cell r="H30">
            <v>10</v>
          </cell>
          <cell r="I30">
            <v>12</v>
          </cell>
          <cell r="J30">
            <v>14</v>
          </cell>
          <cell r="K30">
            <v>16</v>
          </cell>
          <cell r="L30">
            <v>18</v>
          </cell>
          <cell r="M30">
            <v>20</v>
          </cell>
          <cell r="N30">
            <v>22</v>
          </cell>
          <cell r="O30">
            <v>24</v>
          </cell>
          <cell r="P30">
            <v>26</v>
          </cell>
          <cell r="Q30">
            <v>28</v>
          </cell>
          <cell r="R30">
            <v>30</v>
          </cell>
          <cell r="S30">
            <v>32</v>
          </cell>
          <cell r="T30">
            <v>34</v>
          </cell>
          <cell r="U30">
            <v>36</v>
          </cell>
          <cell r="V30">
            <v>38</v>
          </cell>
          <cell r="W30">
            <v>40</v>
          </cell>
          <cell r="X30">
            <v>42</v>
          </cell>
          <cell r="Y30">
            <v>44</v>
          </cell>
          <cell r="Z30">
            <v>46</v>
          </cell>
          <cell r="AA30">
            <v>48</v>
          </cell>
          <cell r="AB30">
            <v>50</v>
          </cell>
          <cell r="AC30">
            <v>52</v>
          </cell>
          <cell r="AD30">
            <v>54</v>
          </cell>
          <cell r="AE30">
            <v>56</v>
          </cell>
          <cell r="AF30">
            <v>58</v>
          </cell>
          <cell r="AG30">
            <v>60</v>
          </cell>
        </row>
        <row r="32">
          <cell r="B32" t="str">
            <v>Erlöse</v>
          </cell>
          <cell r="C32">
            <v>-782.6</v>
          </cell>
          <cell r="D32">
            <v>-500.40000000000003</v>
          </cell>
          <cell r="E32">
            <v>-218.20000000000005</v>
          </cell>
          <cell r="F32">
            <v>63.999999999999886</v>
          </cell>
          <cell r="G32">
            <v>346.19999999999993</v>
          </cell>
          <cell r="H32">
            <v>628.40000000000009</v>
          </cell>
          <cell r="I32">
            <v>910.59999999999991</v>
          </cell>
          <cell r="J32">
            <v>1192.8000000000002</v>
          </cell>
          <cell r="K32">
            <v>1475</v>
          </cell>
          <cell r="L32">
            <v>1757.1999999999998</v>
          </cell>
          <cell r="M32">
            <v>2039.4</v>
          </cell>
          <cell r="N32">
            <v>2321.6</v>
          </cell>
          <cell r="O32">
            <v>2603.7999999999997</v>
          </cell>
          <cell r="P32">
            <v>2885.9999999999995</v>
          </cell>
          <cell r="Q32">
            <v>3168.2000000000003</v>
          </cell>
          <cell r="R32">
            <v>3450.4</v>
          </cell>
          <cell r="S32">
            <v>3732.6</v>
          </cell>
          <cell r="T32">
            <v>4014.7999999999997</v>
          </cell>
          <cell r="U32">
            <v>4297</v>
          </cell>
          <cell r="V32">
            <v>4579.2000000000007</v>
          </cell>
          <cell r="W32">
            <v>4861.3999999999996</v>
          </cell>
          <cell r="X32">
            <v>5143.6000000000004</v>
          </cell>
          <cell r="Y32">
            <v>5425.7999999999993</v>
          </cell>
          <cell r="Z32">
            <v>5708</v>
          </cell>
          <cell r="AA32">
            <v>5990.1999999999989</v>
          </cell>
          <cell r="AB32">
            <v>6272.4</v>
          </cell>
          <cell r="AC32">
            <v>6554.5999999999985</v>
          </cell>
          <cell r="AD32">
            <v>6836.7999999999993</v>
          </cell>
          <cell r="AE32">
            <v>7119</v>
          </cell>
          <cell r="AF32">
            <v>7401.1999999999989</v>
          </cell>
          <cell r="AG32">
            <v>7683.4</v>
          </cell>
        </row>
        <row r="33">
          <cell r="B33" t="str">
            <v>Gesamtkosten</v>
          </cell>
          <cell r="C33">
            <v>782.6</v>
          </cell>
          <cell r="D33">
            <v>832.6</v>
          </cell>
          <cell r="E33">
            <v>882.6</v>
          </cell>
          <cell r="F33">
            <v>932.6</v>
          </cell>
          <cell r="G33">
            <v>982.6</v>
          </cell>
          <cell r="H33">
            <v>1032.5999999999999</v>
          </cell>
          <cell r="I33">
            <v>1082.5999999999999</v>
          </cell>
          <cell r="J33">
            <v>1132.5999999999999</v>
          </cell>
          <cell r="K33">
            <v>1182.5999999999999</v>
          </cell>
          <cell r="L33">
            <v>1232.5999999999999</v>
          </cell>
          <cell r="M33">
            <v>1282.5999999999999</v>
          </cell>
          <cell r="N33">
            <v>1332.6</v>
          </cell>
          <cell r="O33">
            <v>1382.6</v>
          </cell>
          <cell r="P33">
            <v>1432.6</v>
          </cell>
          <cell r="Q33">
            <v>1482.6</v>
          </cell>
          <cell r="R33">
            <v>1532.6</v>
          </cell>
          <cell r="S33">
            <v>1582.6</v>
          </cell>
          <cell r="T33">
            <v>1632.6</v>
          </cell>
          <cell r="U33">
            <v>1682.6</v>
          </cell>
          <cell r="V33">
            <v>1732.6</v>
          </cell>
          <cell r="W33">
            <v>1782.6</v>
          </cell>
          <cell r="X33">
            <v>1832.6</v>
          </cell>
          <cell r="Y33">
            <v>1882.6</v>
          </cell>
          <cell r="Z33">
            <v>1932.6</v>
          </cell>
          <cell r="AA33">
            <v>1982.6</v>
          </cell>
          <cell r="AB33">
            <v>2032.6</v>
          </cell>
          <cell r="AC33">
            <v>2082.6</v>
          </cell>
          <cell r="AD33">
            <v>2132.6</v>
          </cell>
          <cell r="AE33">
            <v>2182.6</v>
          </cell>
          <cell r="AF33">
            <v>2232.6</v>
          </cell>
          <cell r="AG33">
            <v>2282.6</v>
          </cell>
        </row>
        <row r="34">
          <cell r="B34" t="str">
            <v>variable Kosten</v>
          </cell>
          <cell r="C34">
            <v>782.6</v>
          </cell>
          <cell r="D34">
            <v>832.6</v>
          </cell>
          <cell r="E34">
            <v>882.6</v>
          </cell>
          <cell r="F34">
            <v>932.6</v>
          </cell>
          <cell r="G34">
            <v>982.6</v>
          </cell>
          <cell r="H34">
            <v>1032.5999999999999</v>
          </cell>
          <cell r="I34">
            <v>1082.5999999999999</v>
          </cell>
          <cell r="J34">
            <v>1132.5999999999999</v>
          </cell>
          <cell r="K34">
            <v>1182.5999999999999</v>
          </cell>
          <cell r="L34">
            <v>1232.5999999999999</v>
          </cell>
          <cell r="M34">
            <v>1282.5999999999999</v>
          </cell>
          <cell r="N34">
            <v>1332.6</v>
          </cell>
          <cell r="O34">
            <v>1382.6</v>
          </cell>
          <cell r="P34">
            <v>1432.6</v>
          </cell>
          <cell r="Q34">
            <v>1482.6</v>
          </cell>
          <cell r="R34">
            <v>1532.6</v>
          </cell>
          <cell r="S34">
            <v>1582.6</v>
          </cell>
          <cell r="T34">
            <v>1632.6</v>
          </cell>
          <cell r="U34">
            <v>1682.6</v>
          </cell>
          <cell r="V34">
            <v>1732.6</v>
          </cell>
          <cell r="W34">
            <v>1782.6</v>
          </cell>
          <cell r="X34">
            <v>1832.6</v>
          </cell>
          <cell r="Y34">
            <v>1882.6</v>
          </cell>
          <cell r="Z34">
            <v>1932.6</v>
          </cell>
          <cell r="AA34">
            <v>1982.6</v>
          </cell>
          <cell r="AB34">
            <v>2032.6</v>
          </cell>
          <cell r="AC34">
            <v>2082.6</v>
          </cell>
          <cell r="AD34">
            <v>2132.6</v>
          </cell>
          <cell r="AE34">
            <v>2182.6</v>
          </cell>
          <cell r="AF34">
            <v>2232.6</v>
          </cell>
          <cell r="AG34">
            <v>2282.6</v>
          </cell>
        </row>
        <row r="35">
          <cell r="B35" t="str">
            <v>fixe Kosten</v>
          </cell>
          <cell r="C35">
            <v>782.6</v>
          </cell>
          <cell r="D35">
            <v>782.6</v>
          </cell>
          <cell r="E35">
            <v>782.6</v>
          </cell>
          <cell r="F35">
            <v>782.6</v>
          </cell>
          <cell r="G35">
            <v>782.6</v>
          </cell>
          <cell r="H35">
            <v>782.6</v>
          </cell>
          <cell r="I35">
            <v>782.6</v>
          </cell>
          <cell r="J35">
            <v>782.6</v>
          </cell>
          <cell r="K35">
            <v>782.6</v>
          </cell>
          <cell r="L35">
            <v>782.6</v>
          </cell>
          <cell r="M35">
            <v>782.6</v>
          </cell>
          <cell r="N35">
            <v>782.6</v>
          </cell>
          <cell r="O35">
            <v>782.6</v>
          </cell>
          <cell r="P35">
            <v>782.6</v>
          </cell>
          <cell r="Q35">
            <v>782.6</v>
          </cell>
          <cell r="R35">
            <v>782.6</v>
          </cell>
          <cell r="S35">
            <v>782.6</v>
          </cell>
          <cell r="T35">
            <v>782.6</v>
          </cell>
          <cell r="U35">
            <v>782.6</v>
          </cell>
          <cell r="V35">
            <v>782.6</v>
          </cell>
          <cell r="W35">
            <v>782.6</v>
          </cell>
          <cell r="X35">
            <v>782.6</v>
          </cell>
          <cell r="Y35">
            <v>782.6</v>
          </cell>
          <cell r="Z35">
            <v>782.6</v>
          </cell>
          <cell r="AA35">
            <v>782.6</v>
          </cell>
          <cell r="AB35">
            <v>782.6</v>
          </cell>
          <cell r="AC35">
            <v>782.6</v>
          </cell>
          <cell r="AD35">
            <v>782.6</v>
          </cell>
          <cell r="AE35">
            <v>782.6</v>
          </cell>
          <cell r="AF35">
            <v>782.6</v>
          </cell>
          <cell r="AG35">
            <v>782.6</v>
          </cell>
        </row>
        <row r="36">
          <cell r="B36" t="str">
            <v>Gewinn</v>
          </cell>
          <cell r="C36">
            <v>-782.6</v>
          </cell>
          <cell r="D36">
            <v>-500.40000000000003</v>
          </cell>
          <cell r="E36">
            <v>-218.20000000000005</v>
          </cell>
          <cell r="F36">
            <v>63.999999999999886</v>
          </cell>
          <cell r="G36">
            <v>346.19999999999993</v>
          </cell>
          <cell r="H36">
            <v>628.40000000000009</v>
          </cell>
          <cell r="I36">
            <v>910.59999999999991</v>
          </cell>
          <cell r="J36">
            <v>1192.8000000000002</v>
          </cell>
          <cell r="K36">
            <v>1475</v>
          </cell>
          <cell r="L36">
            <v>1757.1999999999998</v>
          </cell>
          <cell r="M36">
            <v>2039.4</v>
          </cell>
          <cell r="N36">
            <v>2321.6</v>
          </cell>
          <cell r="O36">
            <v>2603.7999999999997</v>
          </cell>
          <cell r="P36">
            <v>2885.9999999999995</v>
          </cell>
          <cell r="Q36">
            <v>3168.2000000000003</v>
          </cell>
          <cell r="R36">
            <v>3450.4</v>
          </cell>
          <cell r="S36">
            <v>3732.6</v>
          </cell>
          <cell r="T36">
            <v>4014.7999999999997</v>
          </cell>
          <cell r="U36">
            <v>4297</v>
          </cell>
          <cell r="V36">
            <v>4579.2000000000007</v>
          </cell>
          <cell r="W36">
            <v>4861.3999999999996</v>
          </cell>
          <cell r="X36">
            <v>5143.6000000000004</v>
          </cell>
          <cell r="Y36">
            <v>5425.7999999999993</v>
          </cell>
          <cell r="Z36">
            <v>5708</v>
          </cell>
          <cell r="AA36">
            <v>5990.1999999999989</v>
          </cell>
          <cell r="AB36">
            <v>6272.4</v>
          </cell>
          <cell r="AC36">
            <v>6554.5999999999985</v>
          </cell>
          <cell r="AD36">
            <v>6836.7999999999993</v>
          </cell>
          <cell r="AE36">
            <v>7119</v>
          </cell>
          <cell r="AF36">
            <v>7401.1999999999989</v>
          </cell>
          <cell r="AG36">
            <v>7683.4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zoomScaleNormal="100" workbookViewId="0">
      <selection activeCell="F16" sqref="F16"/>
    </sheetView>
  </sheetViews>
  <sheetFormatPr baseColWidth="10" defaultRowHeight="15" x14ac:dyDescent="0.25"/>
  <cols>
    <col min="1" max="1" width="13.42578125" customWidth="1"/>
    <col min="2" max="2" width="41.85546875" customWidth="1"/>
    <col min="3" max="3" width="29.5703125" customWidth="1"/>
    <col min="4" max="4" width="30" customWidth="1"/>
    <col min="5" max="5" width="35.85546875" customWidth="1"/>
    <col min="6" max="6" width="32.28515625" customWidth="1"/>
    <col min="7" max="7" width="33.85546875" customWidth="1"/>
  </cols>
  <sheetData>
    <row r="1" spans="1:7" ht="23.25" customHeight="1" x14ac:dyDescent="0.25">
      <c r="A1" s="148" t="s">
        <v>0</v>
      </c>
      <c r="B1" s="149"/>
      <c r="C1" s="149"/>
      <c r="D1" s="150"/>
      <c r="E1" s="1"/>
      <c r="F1" s="1"/>
      <c r="G1" s="1"/>
    </row>
    <row r="2" spans="1:7" ht="27.75" customHeight="1" x14ac:dyDescent="0.25">
      <c r="A2" s="151"/>
      <c r="B2" s="152"/>
      <c r="C2" s="152"/>
      <c r="D2" s="153"/>
      <c r="E2" s="1"/>
      <c r="F2" s="1"/>
      <c r="G2" s="1"/>
    </row>
    <row r="3" spans="1:7" x14ac:dyDescent="0.25">
      <c r="A3" s="2" t="s">
        <v>1</v>
      </c>
      <c r="B3" s="2" t="s">
        <v>2</v>
      </c>
      <c r="C3" s="2" t="s">
        <v>3</v>
      </c>
      <c r="D3" s="3" t="s">
        <v>4</v>
      </c>
      <c r="E3" s="4"/>
      <c r="F3" s="5"/>
      <c r="G3" s="5"/>
    </row>
    <row r="4" spans="1:7" x14ac:dyDescent="0.25">
      <c r="A4" s="6">
        <v>1</v>
      </c>
      <c r="B4" s="6" t="s">
        <v>5</v>
      </c>
      <c r="C4" s="6" t="s">
        <v>6</v>
      </c>
      <c r="D4" s="7">
        <v>106</v>
      </c>
      <c r="E4" s="8"/>
      <c r="F4" s="9"/>
      <c r="G4" s="9"/>
    </row>
    <row r="5" spans="1:7" x14ac:dyDescent="0.25">
      <c r="A5" s="10">
        <v>2</v>
      </c>
      <c r="B5" s="10" t="s">
        <v>7</v>
      </c>
      <c r="C5" s="10" t="s">
        <v>8</v>
      </c>
      <c r="D5" s="11">
        <v>78</v>
      </c>
      <c r="E5" s="8"/>
      <c r="F5" s="9"/>
      <c r="G5" s="9"/>
    </row>
    <row r="6" spans="1:7" x14ac:dyDescent="0.25">
      <c r="A6" s="12">
        <v>3</v>
      </c>
      <c r="B6" s="12" t="s">
        <v>9</v>
      </c>
      <c r="C6" s="12" t="s">
        <v>8</v>
      </c>
      <c r="D6" s="13">
        <v>68</v>
      </c>
      <c r="E6" s="8"/>
      <c r="F6" s="9"/>
      <c r="G6" s="9"/>
    </row>
    <row r="7" spans="1:7" x14ac:dyDescent="0.25">
      <c r="A7" s="14">
        <v>4</v>
      </c>
      <c r="B7" s="14" t="s">
        <v>10</v>
      </c>
      <c r="C7" s="14" t="s">
        <v>6</v>
      </c>
      <c r="D7" s="15">
        <v>37</v>
      </c>
      <c r="E7" s="8"/>
      <c r="F7" s="9"/>
      <c r="G7" s="9"/>
    </row>
    <row r="8" spans="1:7" x14ac:dyDescent="0.25">
      <c r="A8" s="14">
        <v>5</v>
      </c>
      <c r="B8" s="14" t="s">
        <v>11</v>
      </c>
      <c r="C8" s="14" t="s">
        <v>12</v>
      </c>
      <c r="D8" s="15">
        <v>31</v>
      </c>
      <c r="E8" s="8"/>
      <c r="F8" s="9"/>
      <c r="G8" s="9"/>
    </row>
    <row r="9" spans="1:7" x14ac:dyDescent="0.25">
      <c r="A9" s="14">
        <v>6</v>
      </c>
      <c r="B9" s="14" t="s">
        <v>13</v>
      </c>
      <c r="C9" s="14" t="s">
        <v>6</v>
      </c>
      <c r="D9" s="15">
        <v>30</v>
      </c>
      <c r="E9" s="8"/>
      <c r="F9" s="9"/>
      <c r="G9" s="9"/>
    </row>
    <row r="10" spans="1:7" x14ac:dyDescent="0.25">
      <c r="A10" s="14">
        <v>7</v>
      </c>
      <c r="B10" s="14" t="s">
        <v>14</v>
      </c>
      <c r="C10" s="14" t="s">
        <v>6</v>
      </c>
      <c r="D10" s="15">
        <v>17</v>
      </c>
      <c r="E10" s="8"/>
      <c r="F10" s="9"/>
      <c r="G10" s="9"/>
    </row>
    <row r="11" spans="1:7" x14ac:dyDescent="0.25">
      <c r="A11" s="14">
        <v>8</v>
      </c>
      <c r="B11" s="14" t="s">
        <v>15</v>
      </c>
      <c r="C11" s="14" t="s">
        <v>16</v>
      </c>
      <c r="D11" s="15">
        <v>12</v>
      </c>
      <c r="E11" s="8"/>
      <c r="F11" s="9"/>
      <c r="G11" s="9"/>
    </row>
    <row r="12" spans="1:7" x14ac:dyDescent="0.25">
      <c r="A12" s="14">
        <v>9</v>
      </c>
      <c r="B12" s="14" t="s">
        <v>17</v>
      </c>
      <c r="C12" s="14" t="s">
        <v>16</v>
      </c>
      <c r="D12" s="15">
        <v>12</v>
      </c>
      <c r="E12" s="8"/>
      <c r="F12" s="9"/>
      <c r="G12" s="9"/>
    </row>
    <row r="13" spans="1:7" x14ac:dyDescent="0.25">
      <c r="A13" s="14">
        <v>10</v>
      </c>
      <c r="B13" s="14" t="s">
        <v>18</v>
      </c>
      <c r="C13" s="14" t="s">
        <v>6</v>
      </c>
      <c r="D13" s="15">
        <v>12</v>
      </c>
      <c r="E13" s="8"/>
      <c r="F13" s="9"/>
      <c r="G13" s="9"/>
    </row>
    <row r="14" spans="1:7" x14ac:dyDescent="0.25">
      <c r="A14" s="14">
        <v>11</v>
      </c>
      <c r="B14" s="14" t="s">
        <v>19</v>
      </c>
      <c r="C14" s="14" t="s">
        <v>16</v>
      </c>
      <c r="D14" s="15">
        <v>11</v>
      </c>
      <c r="E14" s="8"/>
      <c r="F14" s="9"/>
      <c r="G14" s="9"/>
    </row>
    <row r="15" spans="1:7" x14ac:dyDescent="0.25">
      <c r="A15" s="14">
        <v>12</v>
      </c>
      <c r="B15" s="14" t="s">
        <v>20</v>
      </c>
      <c r="C15" s="14" t="s">
        <v>6</v>
      </c>
      <c r="D15" s="15">
        <v>10</v>
      </c>
      <c r="E15" s="8"/>
      <c r="F15" s="9"/>
      <c r="G15" s="9"/>
    </row>
    <row r="16" spans="1:7" x14ac:dyDescent="0.25">
      <c r="A16" s="14">
        <v>20</v>
      </c>
      <c r="B16" s="14" t="s">
        <v>21</v>
      </c>
      <c r="C16" s="14" t="s">
        <v>6</v>
      </c>
      <c r="D16" s="15">
        <v>8</v>
      </c>
      <c r="E16" s="8"/>
      <c r="F16" s="9"/>
      <c r="G16" s="9"/>
    </row>
    <row r="17" spans="1:7" x14ac:dyDescent="0.25">
      <c r="A17" s="14">
        <v>24</v>
      </c>
      <c r="B17" s="14" t="s">
        <v>22</v>
      </c>
      <c r="C17" s="14" t="s">
        <v>16</v>
      </c>
      <c r="D17" s="15">
        <v>7</v>
      </c>
      <c r="E17" s="8"/>
      <c r="F17" s="9"/>
      <c r="G17" s="9"/>
    </row>
    <row r="18" spans="1:7" x14ac:dyDescent="0.25">
      <c r="A18" s="14">
        <v>13</v>
      </c>
      <c r="B18" s="14" t="s">
        <v>23</v>
      </c>
      <c r="C18" s="14" t="s">
        <v>6</v>
      </c>
      <c r="D18" s="15">
        <v>4</v>
      </c>
      <c r="E18" s="8"/>
      <c r="F18" s="9"/>
      <c r="G18" s="9"/>
    </row>
    <row r="19" spans="1:7" x14ac:dyDescent="0.25">
      <c r="A19" s="14">
        <v>14</v>
      </c>
      <c r="B19" s="14" t="s">
        <v>24</v>
      </c>
      <c r="C19" s="14" t="s">
        <v>6</v>
      </c>
      <c r="D19" s="15">
        <v>4</v>
      </c>
      <c r="E19" s="8"/>
      <c r="F19" s="9"/>
      <c r="G19" s="9"/>
    </row>
    <row r="20" spans="1:7" x14ac:dyDescent="0.25">
      <c r="A20" s="14">
        <v>15</v>
      </c>
      <c r="B20" s="14" t="s">
        <v>25</v>
      </c>
      <c r="C20" s="14" t="s">
        <v>16</v>
      </c>
      <c r="D20" s="15">
        <v>4</v>
      </c>
      <c r="E20" s="8"/>
      <c r="F20" s="9"/>
      <c r="G20" s="9"/>
    </row>
    <row r="21" spans="1:7" x14ac:dyDescent="0.25">
      <c r="A21" s="14">
        <v>16</v>
      </c>
      <c r="B21" s="14" t="s">
        <v>26</v>
      </c>
      <c r="C21" s="14" t="s">
        <v>6</v>
      </c>
      <c r="D21" s="15">
        <v>4</v>
      </c>
      <c r="E21" s="8"/>
      <c r="F21" s="9"/>
      <c r="G21" s="9"/>
    </row>
    <row r="22" spans="1:7" x14ac:dyDescent="0.25">
      <c r="A22" s="14">
        <v>23</v>
      </c>
      <c r="B22" s="14" t="s">
        <v>24</v>
      </c>
      <c r="C22" s="14" t="s">
        <v>6</v>
      </c>
      <c r="D22" s="15">
        <v>4</v>
      </c>
      <c r="E22" s="8"/>
      <c r="F22" s="9"/>
      <c r="G22" s="9"/>
    </row>
    <row r="23" spans="1:7" x14ac:dyDescent="0.25">
      <c r="A23" s="14">
        <v>25</v>
      </c>
      <c r="B23" s="14" t="s">
        <v>27</v>
      </c>
      <c r="C23" s="14" t="s">
        <v>6</v>
      </c>
      <c r="D23" s="15">
        <v>3</v>
      </c>
      <c r="E23" s="8"/>
      <c r="F23" s="9"/>
      <c r="G23" s="9"/>
    </row>
    <row r="24" spans="1:7" x14ac:dyDescent="0.25">
      <c r="A24" s="14">
        <v>17</v>
      </c>
      <c r="B24" s="14" t="s">
        <v>28</v>
      </c>
      <c r="C24" s="14" t="s">
        <v>6</v>
      </c>
      <c r="D24" s="15">
        <v>2</v>
      </c>
      <c r="E24" s="8"/>
      <c r="F24" s="9"/>
      <c r="G24" s="9"/>
    </row>
    <row r="25" spans="1:7" x14ac:dyDescent="0.25">
      <c r="A25" s="14">
        <v>18</v>
      </c>
      <c r="B25" s="14" t="s">
        <v>29</v>
      </c>
      <c r="C25" s="14" t="s">
        <v>16</v>
      </c>
      <c r="D25" s="15">
        <v>2</v>
      </c>
      <c r="E25" s="8"/>
      <c r="F25" s="9"/>
      <c r="G25" s="9"/>
    </row>
    <row r="26" spans="1:7" x14ac:dyDescent="0.25">
      <c r="A26" s="14">
        <v>21</v>
      </c>
      <c r="B26" s="14" t="s">
        <v>30</v>
      </c>
      <c r="C26" s="14" t="s">
        <v>6</v>
      </c>
      <c r="D26" s="15">
        <v>2</v>
      </c>
      <c r="E26" s="8"/>
      <c r="F26" s="9"/>
      <c r="G26" s="9"/>
    </row>
    <row r="27" spans="1:7" x14ac:dyDescent="0.25">
      <c r="A27" s="14">
        <v>19</v>
      </c>
      <c r="B27" s="14" t="s">
        <v>31</v>
      </c>
      <c r="C27" s="14" t="s">
        <v>8</v>
      </c>
      <c r="D27" s="15">
        <v>1</v>
      </c>
      <c r="E27" s="8"/>
      <c r="F27" s="9"/>
      <c r="G27" s="9"/>
    </row>
    <row r="28" spans="1:7" x14ac:dyDescent="0.25">
      <c r="A28" s="14">
        <v>22</v>
      </c>
      <c r="B28" s="14" t="s">
        <v>32</v>
      </c>
      <c r="C28" s="14" t="s">
        <v>16</v>
      </c>
      <c r="D28" s="15">
        <v>1</v>
      </c>
      <c r="E28" s="8"/>
      <c r="F28" s="9"/>
      <c r="G28" s="9"/>
    </row>
    <row r="29" spans="1:7" x14ac:dyDescent="0.25">
      <c r="E29" s="1"/>
      <c r="F29" s="1"/>
      <c r="G29" s="1"/>
    </row>
  </sheetData>
  <autoFilter ref="A3:D3">
    <sortState ref="A4:D30">
      <sortCondition descending="1" ref="D3"/>
    </sortState>
  </autoFilter>
  <mergeCells count="1">
    <mergeCell ref="A1:D2"/>
  </mergeCells>
  <pageMargins left="0.7" right="0.7" top="0.78740157499999996" bottom="0.78740157499999996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S123"/>
  <sheetViews>
    <sheetView topLeftCell="A76" zoomScale="90" zoomScaleNormal="90" workbookViewId="0">
      <selection activeCell="A37" sqref="A37:B37"/>
    </sheetView>
  </sheetViews>
  <sheetFormatPr baseColWidth="10" defaultRowHeight="15" x14ac:dyDescent="0.25"/>
  <cols>
    <col min="1" max="1" width="23.140625" bestFit="1" customWidth="1"/>
    <col min="3" max="3" width="32.85546875" bestFit="1" customWidth="1"/>
    <col min="4" max="4" width="33.7109375" bestFit="1" customWidth="1"/>
    <col min="5" max="5" width="31.140625" bestFit="1" customWidth="1"/>
    <col min="6" max="6" width="33.140625" bestFit="1" customWidth="1"/>
    <col min="7" max="8" width="30" customWidth="1"/>
    <col min="9" max="9" width="18.42578125" bestFit="1" customWidth="1"/>
    <col min="12" max="12" width="15.7109375" customWidth="1"/>
    <col min="15" max="15" width="14.42578125" bestFit="1" customWidth="1"/>
    <col min="19" max="19" width="14.42578125" bestFit="1" customWidth="1"/>
  </cols>
  <sheetData>
    <row r="1" spans="1:15" ht="15" customHeight="1" x14ac:dyDescent="0.25">
      <c r="A1" s="167" t="s">
        <v>33</v>
      </c>
      <c r="B1" s="167"/>
      <c r="C1" s="167"/>
      <c r="D1" s="167"/>
      <c r="E1" s="167"/>
      <c r="F1" s="167"/>
      <c r="G1" s="167"/>
      <c r="H1" s="167"/>
    </row>
    <row r="2" spans="1:15" ht="15" customHeight="1" x14ac:dyDescent="0.25">
      <c r="A2" s="167"/>
      <c r="B2" s="167"/>
      <c r="C2" s="167"/>
      <c r="D2" s="167"/>
      <c r="E2" s="167"/>
      <c r="F2" s="167"/>
      <c r="G2" s="167"/>
      <c r="H2" s="167"/>
      <c r="L2" s="16" t="s">
        <v>34</v>
      </c>
      <c r="M2" s="16" t="s">
        <v>35</v>
      </c>
      <c r="N2" s="16"/>
      <c r="O2" s="16"/>
    </row>
    <row r="3" spans="1:15" ht="15" customHeight="1" x14ac:dyDescent="0.25">
      <c r="A3" s="167"/>
      <c r="B3" s="167"/>
      <c r="C3" s="167"/>
      <c r="D3" s="167"/>
      <c r="E3" s="167"/>
      <c r="F3" s="167"/>
      <c r="G3" s="167"/>
      <c r="H3" s="167"/>
      <c r="L3" s="16" t="s">
        <v>36</v>
      </c>
      <c r="M3" s="16" t="s">
        <v>37</v>
      </c>
      <c r="N3" s="16"/>
      <c r="O3" s="16"/>
    </row>
    <row r="4" spans="1:15" ht="15" customHeight="1" x14ac:dyDescent="0.25">
      <c r="A4" s="167"/>
      <c r="B4" s="167"/>
      <c r="C4" s="167"/>
      <c r="D4" s="167"/>
      <c r="E4" s="167"/>
      <c r="F4" s="167"/>
      <c r="G4" s="167"/>
      <c r="H4" s="167"/>
      <c r="L4" s="16" t="s">
        <v>38</v>
      </c>
      <c r="M4" s="16" t="s">
        <v>39</v>
      </c>
      <c r="N4" s="16"/>
      <c r="O4" s="16"/>
    </row>
    <row r="5" spans="1:15" x14ac:dyDescent="0.25">
      <c r="L5" s="16" t="s">
        <v>40</v>
      </c>
      <c r="M5" s="16" t="s">
        <v>41</v>
      </c>
      <c r="N5" s="16"/>
      <c r="O5" s="16"/>
    </row>
    <row r="7" spans="1:15" x14ac:dyDescent="0.25">
      <c r="A7" s="17"/>
      <c r="B7" s="17"/>
    </row>
    <row r="8" spans="1:15" ht="15" customHeight="1" x14ac:dyDescent="0.25">
      <c r="A8" s="161" t="s">
        <v>5</v>
      </c>
      <c r="B8" s="162"/>
      <c r="C8" s="18" t="s">
        <v>42</v>
      </c>
      <c r="D8" s="18" t="s">
        <v>43</v>
      </c>
      <c r="E8" s="18" t="s">
        <v>44</v>
      </c>
      <c r="F8" s="18" t="s">
        <v>45</v>
      </c>
      <c r="G8" s="18" t="s">
        <v>46</v>
      </c>
      <c r="H8" s="18" t="s">
        <v>47</v>
      </c>
    </row>
    <row r="9" spans="1:15" ht="15" customHeight="1" x14ac:dyDescent="0.25">
      <c r="A9" s="163"/>
      <c r="B9" s="164"/>
      <c r="C9" s="19"/>
      <c r="D9" s="19"/>
      <c r="E9" s="19"/>
      <c r="F9" s="20"/>
      <c r="G9" s="20"/>
      <c r="H9" s="20"/>
    </row>
    <row r="10" spans="1:15" x14ac:dyDescent="0.25">
      <c r="A10" s="155" t="s">
        <v>48</v>
      </c>
      <c r="B10" s="156"/>
      <c r="C10" s="21">
        <v>23.41</v>
      </c>
      <c r="D10" s="21">
        <v>6.24</v>
      </c>
      <c r="E10" s="21">
        <f>E11*O15</f>
        <v>13.168124999999998</v>
      </c>
      <c r="F10" s="21">
        <f>((C10/16)*8)+((D10/8)*7)</f>
        <v>17.164999999999999</v>
      </c>
      <c r="G10" s="21">
        <f>(E10+F10)*184</f>
        <v>5581.2949999999992</v>
      </c>
      <c r="H10" s="22">
        <f>((E10+F10)*365)/100</f>
        <v>110.71590624999999</v>
      </c>
    </row>
    <row r="11" spans="1:15" x14ac:dyDescent="0.25">
      <c r="A11" s="23"/>
      <c r="B11" s="23"/>
      <c r="C11" s="24">
        <f>C10/O15</f>
        <v>1.0178260869565217</v>
      </c>
      <c r="D11" s="24">
        <f>D10/O16</f>
        <v>0.50938775510204082</v>
      </c>
      <c r="E11" s="24">
        <f>(C11/16)*9</f>
        <v>0.57252717391304342</v>
      </c>
      <c r="F11" s="24">
        <f>((C11/16)*8)+((D11/8)*7)</f>
        <v>0.95462732919254656</v>
      </c>
      <c r="G11" s="24">
        <f>(E11+F11)*184</f>
        <v>280.99642857142857</v>
      </c>
      <c r="H11" s="25">
        <f>(E11+F11)*365</f>
        <v>557.41139363354034</v>
      </c>
    </row>
    <row r="12" spans="1:15" x14ac:dyDescent="0.25">
      <c r="A12" s="155" t="s">
        <v>49</v>
      </c>
      <c r="B12" s="156"/>
      <c r="C12" s="26">
        <v>0.11</v>
      </c>
      <c r="D12" s="26">
        <v>0.03</v>
      </c>
      <c r="E12" s="26">
        <f>E13*O15</f>
        <v>0.11617346938775509</v>
      </c>
      <c r="F12" s="21">
        <f>((C12/16)*8)+((D12/8)*7)</f>
        <v>8.1250000000000003E-2</v>
      </c>
      <c r="G12" s="21">
        <f>(E12+F12)*184</f>
        <v>36.325918367346937</v>
      </c>
      <c r="H12" s="22">
        <f>((E12+F12)*365)/100</f>
        <v>0.72059566326530611</v>
      </c>
      <c r="I12" s="27"/>
      <c r="L12" s="165" t="s">
        <v>50</v>
      </c>
      <c r="M12" s="166"/>
      <c r="N12" s="166"/>
      <c r="O12" s="28" t="s">
        <v>51</v>
      </c>
    </row>
    <row r="13" spans="1:15" x14ac:dyDescent="0.25">
      <c r="A13" s="23"/>
      <c r="B13" s="23"/>
      <c r="C13" s="29">
        <f>C12/O16</f>
        <v>8.979591836734694E-3</v>
      </c>
      <c r="D13" s="29">
        <f>D12/O16</f>
        <v>2.4489795918367346E-3</v>
      </c>
      <c r="E13" s="29">
        <f>(C13/16)*9</f>
        <v>5.0510204081632652E-3</v>
      </c>
      <c r="F13" s="24">
        <f>((C13/16)*8)+((D13/8)*7)</f>
        <v>6.6326530612244895E-3</v>
      </c>
      <c r="G13" s="24">
        <f>(E13+F13)*184</f>
        <v>2.1497959183673467</v>
      </c>
      <c r="H13" s="25">
        <f>(E13+F13)*365</f>
        <v>4.2645408163265301</v>
      </c>
      <c r="I13" s="30"/>
      <c r="L13" s="31"/>
      <c r="M13" s="32"/>
      <c r="N13" s="32"/>
      <c r="O13" s="33"/>
    </row>
    <row r="14" spans="1:15" x14ac:dyDescent="0.25">
      <c r="L14" s="31" t="s">
        <v>52</v>
      </c>
      <c r="M14" s="32"/>
      <c r="N14" s="32"/>
      <c r="O14" s="33"/>
    </row>
    <row r="15" spans="1:15" x14ac:dyDescent="0.25">
      <c r="A15" s="161" t="s">
        <v>7</v>
      </c>
      <c r="B15" s="162"/>
      <c r="C15" s="18" t="s">
        <v>42</v>
      </c>
      <c r="D15" s="18" t="s">
        <v>43</v>
      </c>
      <c r="E15" s="18" t="s">
        <v>44</v>
      </c>
      <c r="F15" s="18" t="s">
        <v>45</v>
      </c>
      <c r="G15" s="18" t="s">
        <v>46</v>
      </c>
      <c r="H15" s="18" t="s">
        <v>47</v>
      </c>
      <c r="L15" s="31" t="s">
        <v>53</v>
      </c>
      <c r="M15" s="32"/>
      <c r="N15" s="34"/>
      <c r="O15" s="35">
        <v>23</v>
      </c>
    </row>
    <row r="16" spans="1:15" x14ac:dyDescent="0.25">
      <c r="A16" s="163"/>
      <c r="B16" s="164"/>
      <c r="C16" s="19"/>
      <c r="D16" s="19"/>
      <c r="E16" s="19"/>
      <c r="F16" s="20"/>
      <c r="G16" s="20"/>
      <c r="H16" s="20"/>
      <c r="L16" s="31" t="s">
        <v>54</v>
      </c>
      <c r="M16" s="32"/>
      <c r="N16" s="32"/>
      <c r="O16" s="35">
        <v>12.25</v>
      </c>
    </row>
    <row r="17" spans="1:15" x14ac:dyDescent="0.25">
      <c r="A17" s="155" t="s">
        <v>48</v>
      </c>
      <c r="B17" s="156"/>
      <c r="C17" s="21">
        <v>7.36</v>
      </c>
      <c r="D17" s="21">
        <v>1.96</v>
      </c>
      <c r="E17" s="21">
        <f>E18*O15</f>
        <v>4.1399999999999997</v>
      </c>
      <c r="F17" s="21">
        <f>((C17/16)*8)+((D17/8)*7)</f>
        <v>5.3949999999999996</v>
      </c>
      <c r="G17" s="21">
        <f>(E17+F17)*184</f>
        <v>1754.44</v>
      </c>
      <c r="H17" s="22">
        <f>((E17+F17)*365)/100</f>
        <v>34.802750000000003</v>
      </c>
      <c r="L17" s="36"/>
      <c r="M17" s="37"/>
      <c r="N17" s="37"/>
      <c r="O17" s="38"/>
    </row>
    <row r="18" spans="1:15" x14ac:dyDescent="0.25">
      <c r="A18" s="157"/>
      <c r="B18" s="158"/>
      <c r="C18" s="24">
        <f>C17/O15</f>
        <v>0.32</v>
      </c>
      <c r="D18" s="24">
        <f>D17/O16</f>
        <v>0.16</v>
      </c>
      <c r="E18" s="24">
        <f>(C18/16)*9</f>
        <v>0.18</v>
      </c>
      <c r="F18" s="24">
        <f>((C18/16)*8)+((D18/8)*7)</f>
        <v>0.30000000000000004</v>
      </c>
      <c r="G18" s="24">
        <f>(E18+F18)*184</f>
        <v>88.320000000000007</v>
      </c>
      <c r="H18" s="25">
        <f>(E18+F18)*365</f>
        <v>175.20000000000002</v>
      </c>
      <c r="L18" s="39" t="s">
        <v>55</v>
      </c>
    </row>
    <row r="19" spans="1:15" x14ac:dyDescent="0.25">
      <c r="A19" s="155" t="s">
        <v>49</v>
      </c>
      <c r="B19" s="156"/>
      <c r="C19" s="26">
        <v>0.44</v>
      </c>
      <c r="D19" s="26">
        <v>0.12</v>
      </c>
      <c r="E19" s="26">
        <f>E20*O15</f>
        <v>0.2475</v>
      </c>
      <c r="F19" s="21">
        <f>((C19/16)*8)+((D19/8)*7)</f>
        <v>0.32500000000000001</v>
      </c>
      <c r="G19" s="21">
        <f>(E19+F19)*184</f>
        <v>105.34</v>
      </c>
      <c r="H19" s="22">
        <f>((E19+F19)*365)/100</f>
        <v>2.0896249999999998</v>
      </c>
    </row>
    <row r="20" spans="1:15" x14ac:dyDescent="0.25">
      <c r="C20" s="29">
        <f>C19/O15</f>
        <v>1.9130434782608695E-2</v>
      </c>
      <c r="D20" s="29">
        <f>D19/O16</f>
        <v>9.7959183673469383E-3</v>
      </c>
      <c r="E20" s="29">
        <f>C20/16*9</f>
        <v>1.0760869565217391E-2</v>
      </c>
      <c r="F20" s="24">
        <f>((C20/16)*8)+((D20/8)*7)</f>
        <v>1.8136645962732918E-2</v>
      </c>
      <c r="G20" s="24">
        <f>(E20+F20)*184</f>
        <v>5.3171428571428567</v>
      </c>
      <c r="H20" s="25">
        <f>(E20+F20)*365</f>
        <v>10.547593167701862</v>
      </c>
    </row>
    <row r="21" spans="1:15" x14ac:dyDescent="0.25">
      <c r="L21" s="40" t="s">
        <v>56</v>
      </c>
    </row>
    <row r="22" spans="1:15" x14ac:dyDescent="0.25">
      <c r="A22" s="161" t="s">
        <v>9</v>
      </c>
      <c r="B22" s="162"/>
      <c r="C22" s="18" t="s">
        <v>42</v>
      </c>
      <c r="D22" s="18" t="s">
        <v>43</v>
      </c>
      <c r="E22" s="18" t="s">
        <v>44</v>
      </c>
      <c r="F22" s="18" t="s">
        <v>57</v>
      </c>
      <c r="G22" s="18" t="s">
        <v>46</v>
      </c>
      <c r="H22" s="18" t="s">
        <v>47</v>
      </c>
      <c r="L22" s="40" t="s">
        <v>51</v>
      </c>
    </row>
    <row r="23" spans="1:15" x14ac:dyDescent="0.25">
      <c r="A23" s="163"/>
      <c r="B23" s="164"/>
      <c r="C23" s="19"/>
      <c r="D23" s="19"/>
      <c r="E23" s="19"/>
      <c r="F23" s="20"/>
      <c r="G23" s="20"/>
      <c r="H23" s="20"/>
      <c r="L23" s="40" t="s">
        <v>58</v>
      </c>
    </row>
    <row r="24" spans="1:15" x14ac:dyDescent="0.25">
      <c r="A24" s="155" t="s">
        <v>48</v>
      </c>
      <c r="B24" s="156"/>
      <c r="C24" s="21">
        <v>5.97</v>
      </c>
      <c r="D24" s="21">
        <v>1.59</v>
      </c>
      <c r="E24" s="21">
        <f>E25*O15</f>
        <v>3.3581249999999998</v>
      </c>
      <c r="F24" s="21">
        <f>((C24/16)*8)+((D24/8)*7)</f>
        <v>4.3762499999999998</v>
      </c>
      <c r="G24" s="21">
        <f>(E24+F24)*184</f>
        <v>1423.125</v>
      </c>
      <c r="H24" s="22">
        <f>((E24+F24)*365)/100</f>
        <v>28.23046875</v>
      </c>
      <c r="L24" s="40" t="s">
        <v>59</v>
      </c>
    </row>
    <row r="25" spans="1:15" x14ac:dyDescent="0.25">
      <c r="A25" s="157"/>
      <c r="B25" s="158"/>
      <c r="C25" s="24">
        <f>C24/O15</f>
        <v>0.25956521739130434</v>
      </c>
      <c r="D25" s="24">
        <f>D24/O16</f>
        <v>0.12979591836734694</v>
      </c>
      <c r="E25" s="24">
        <f>(C25/16)*9</f>
        <v>0.14600543478260869</v>
      </c>
      <c r="F25" s="24">
        <f>((C25/16)*8)+((D25/8)*7)</f>
        <v>0.24335403726708074</v>
      </c>
      <c r="G25" s="24">
        <f>(E25+F25)*184</f>
        <v>71.642142857142858</v>
      </c>
      <c r="H25" s="25">
        <f>(E25+F25)*365</f>
        <v>142.11620729813666</v>
      </c>
      <c r="L25" s="40" t="s">
        <v>60</v>
      </c>
    </row>
    <row r="26" spans="1:15" x14ac:dyDescent="0.25">
      <c r="A26" s="155" t="s">
        <v>49</v>
      </c>
      <c r="B26" s="156"/>
      <c r="C26" s="26">
        <v>0.5</v>
      </c>
      <c r="D26" s="26">
        <v>0.15</v>
      </c>
      <c r="E26" s="26">
        <f>E27*O15</f>
        <v>0.28125</v>
      </c>
      <c r="F26" s="21">
        <f>((C26/16)*8)+((D26/8)*7)</f>
        <v>0.38124999999999998</v>
      </c>
      <c r="G26" s="21">
        <f>(E26+F26)*184</f>
        <v>121.89999999999999</v>
      </c>
      <c r="H26" s="22">
        <f>((E26+F26)*365)/100</f>
        <v>2.4181249999999999</v>
      </c>
    </row>
    <row r="27" spans="1:15" x14ac:dyDescent="0.25">
      <c r="C27" s="29">
        <f>C26/O15</f>
        <v>2.1739130434782608E-2</v>
      </c>
      <c r="D27" s="29">
        <f>D26/O16</f>
        <v>1.2244897959183673E-2</v>
      </c>
      <c r="E27" s="29">
        <f>(C27/16)*9</f>
        <v>1.2228260869565216E-2</v>
      </c>
      <c r="F27" s="24">
        <f>((C27/16)*8)+((D27/8)*7)</f>
        <v>2.1583850931677018E-2</v>
      </c>
      <c r="G27" s="24">
        <f>(E27+F27)*184</f>
        <v>6.2214285714285706</v>
      </c>
      <c r="H27" s="25">
        <f>(E27+F27)*365</f>
        <v>12.341420807453414</v>
      </c>
      <c r="I27" s="41"/>
      <c r="J27" s="41"/>
      <c r="K27" s="41"/>
      <c r="L27" s="41"/>
    </row>
    <row r="29" spans="1:15" ht="15" customHeight="1" x14ac:dyDescent="0.25">
      <c r="A29" s="41"/>
      <c r="B29" s="41"/>
      <c r="C29" s="41"/>
      <c r="D29" s="41"/>
      <c r="E29" s="41"/>
      <c r="F29" s="41"/>
      <c r="G29" s="41"/>
      <c r="H29" s="41"/>
      <c r="I29" s="1"/>
      <c r="J29" s="1"/>
      <c r="K29" s="1"/>
      <c r="L29" s="1"/>
    </row>
    <row r="30" spans="1:15" ht="15" customHeight="1" x14ac:dyDescent="0.25">
      <c r="I30" s="1"/>
      <c r="J30" s="1"/>
      <c r="K30" s="1"/>
      <c r="L30" s="1"/>
    </row>
    <row r="31" spans="1:15" ht="14.25" customHeight="1" x14ac:dyDescent="0.25">
      <c r="A31" s="42"/>
      <c r="B31" s="42"/>
      <c r="C31" s="43"/>
      <c r="D31" s="43"/>
      <c r="E31" s="43"/>
      <c r="F31" s="43"/>
      <c r="G31" s="44"/>
      <c r="H31" s="44"/>
      <c r="I31" s="1"/>
      <c r="J31" s="1"/>
      <c r="K31" s="1"/>
      <c r="L31" s="1"/>
    </row>
    <row r="32" spans="1:15" ht="15" customHeight="1" x14ac:dyDescent="0.25">
      <c r="B32" s="45"/>
      <c r="C32" s="46"/>
      <c r="D32" s="46"/>
      <c r="E32" s="46"/>
      <c r="F32" s="47"/>
      <c r="G32" s="1"/>
      <c r="H32" s="1"/>
      <c r="I32" s="1"/>
      <c r="J32" s="1"/>
      <c r="K32" s="1"/>
      <c r="L32" s="1"/>
    </row>
    <row r="33" spans="1:19" x14ac:dyDescent="0.25">
      <c r="B33" s="47"/>
      <c r="C33" s="48"/>
      <c r="D33" s="48"/>
      <c r="E33" s="48"/>
      <c r="F33" s="48"/>
      <c r="G33" s="1"/>
      <c r="H33" s="1"/>
      <c r="I33" s="1"/>
      <c r="J33" s="1"/>
      <c r="K33" s="1"/>
      <c r="L33" s="1"/>
    </row>
    <row r="34" spans="1:19" ht="15" customHeight="1" x14ac:dyDescent="0.25">
      <c r="B34" s="47"/>
      <c r="C34" s="48"/>
      <c r="D34" s="48"/>
      <c r="E34" s="48"/>
      <c r="F34" s="48"/>
      <c r="G34" s="1"/>
      <c r="H34" s="1"/>
      <c r="I34" s="49"/>
    </row>
    <row r="35" spans="1:19" ht="15" customHeight="1" x14ac:dyDescent="0.25">
      <c r="A35" s="161" t="s">
        <v>5</v>
      </c>
      <c r="B35" s="162"/>
      <c r="C35" s="18" t="s">
        <v>42</v>
      </c>
      <c r="D35" s="18" t="s">
        <v>43</v>
      </c>
      <c r="E35" s="18" t="s">
        <v>44</v>
      </c>
      <c r="F35" s="18" t="s">
        <v>45</v>
      </c>
      <c r="G35" s="18" t="s">
        <v>46</v>
      </c>
      <c r="H35" s="18" t="s">
        <v>47</v>
      </c>
    </row>
    <row r="36" spans="1:19" x14ac:dyDescent="0.25">
      <c r="A36" s="163"/>
      <c r="B36" s="164"/>
      <c r="C36" s="19"/>
      <c r="D36" s="19"/>
      <c r="E36" s="19"/>
      <c r="F36" s="20"/>
      <c r="G36" s="20"/>
      <c r="H36" s="20"/>
    </row>
    <row r="37" spans="1:19" x14ac:dyDescent="0.25">
      <c r="A37" s="155" t="s">
        <v>48</v>
      </c>
      <c r="B37" s="156"/>
      <c r="C37" s="21">
        <f>23.41*L38</f>
        <v>257.51</v>
      </c>
      <c r="D37" s="21">
        <f>6.24*L38</f>
        <v>68.64</v>
      </c>
      <c r="E37" s="21">
        <f>((C37/16)*9)</f>
        <v>144.84937500000001</v>
      </c>
      <c r="F37" s="21">
        <f>(((C37/16)*8)+((D37/8)*7))</f>
        <v>188.815</v>
      </c>
      <c r="G37" s="22">
        <f>(((SUM(E37:F37))*157)+(($S$43*24)*27))/100</f>
        <v>603.23306875000003</v>
      </c>
      <c r="H37" s="22">
        <f>(((SUM(E37:F37))*313)+(($S$43*24)*52))/100</f>
        <v>1197.2494937500001</v>
      </c>
      <c r="J37" s="50" t="s">
        <v>61</v>
      </c>
      <c r="K37" s="51"/>
      <c r="L37" s="50">
        <v>106</v>
      </c>
      <c r="M37" s="52">
        <v>1</v>
      </c>
    </row>
    <row r="38" spans="1:19" x14ac:dyDescent="0.25">
      <c r="A38" s="23"/>
      <c r="B38" s="23"/>
      <c r="C38" s="24">
        <f>C37/S42</f>
        <v>11.196086956521739</v>
      </c>
      <c r="D38" s="24">
        <f>D37/S43</f>
        <v>5.6032653061224487</v>
      </c>
      <c r="E38" s="24">
        <f>((C38/16)*9)</f>
        <v>6.2977989130434784</v>
      </c>
      <c r="F38" s="24">
        <f>(((C38/16)*8)+((D38/8)*7))</f>
        <v>10.500900621118012</v>
      </c>
      <c r="G38" s="25">
        <f>16.8*184</f>
        <v>3091.2000000000003</v>
      </c>
      <c r="H38" s="25">
        <f>((E38+F38)*365)</f>
        <v>6131.5253299689439</v>
      </c>
      <c r="J38" s="51" t="s">
        <v>48</v>
      </c>
      <c r="K38" s="51"/>
      <c r="L38" s="51">
        <v>11</v>
      </c>
      <c r="M38" s="53">
        <f>L38*M37/L37</f>
        <v>0.10377358490566038</v>
      </c>
    </row>
    <row r="39" spans="1:19" ht="15" customHeight="1" x14ac:dyDescent="0.25">
      <c r="A39" s="155" t="s">
        <v>49</v>
      </c>
      <c r="B39" s="156"/>
      <c r="C39" s="26">
        <f>C12*L39</f>
        <v>9.9</v>
      </c>
      <c r="D39" s="26">
        <f>D13*L39</f>
        <v>0.2204081632653061</v>
      </c>
      <c r="E39" s="26">
        <f>(($C$10*L39)/16)*9</f>
        <v>1185.1312500000001</v>
      </c>
      <c r="F39" s="21">
        <f>(((C39/16)*8)+((D39/8)*7))</f>
        <v>5.1428571428571432</v>
      </c>
      <c r="G39" s="22">
        <f>(((SUM(E39:F39))*157)+(($S$43*24)*27))/100</f>
        <v>1948.110348214286</v>
      </c>
      <c r="H39" s="22">
        <f>(((SUM(E39:F39))*313)+(($S$43*24)*52))/100</f>
        <v>3878.437955357143</v>
      </c>
      <c r="I39" s="27"/>
      <c r="J39" s="51" t="s">
        <v>49</v>
      </c>
      <c r="K39" s="51"/>
      <c r="L39" s="51">
        <v>90</v>
      </c>
      <c r="M39" s="53">
        <f>L39*M37/L37</f>
        <v>0.84905660377358494</v>
      </c>
      <c r="P39" s="165" t="s">
        <v>50</v>
      </c>
      <c r="Q39" s="166"/>
      <c r="R39" s="166"/>
      <c r="S39" s="28" t="s">
        <v>51</v>
      </c>
    </row>
    <row r="40" spans="1:19" ht="15" customHeight="1" x14ac:dyDescent="0.25">
      <c r="A40" s="23"/>
      <c r="B40" s="23"/>
      <c r="C40" s="29">
        <f>C39/S43</f>
        <v>0.80816326530612248</v>
      </c>
      <c r="D40" s="29">
        <f>D39/S43</f>
        <v>1.7992503123698458E-2</v>
      </c>
      <c r="E40" s="29">
        <v>51.527445652173832</v>
      </c>
      <c r="F40" s="24">
        <v>0.42079591836734681</v>
      </c>
      <c r="G40" s="25">
        <v>9558.8000000000011</v>
      </c>
      <c r="H40" s="25">
        <v>18961.108173247529</v>
      </c>
      <c r="I40" s="30"/>
      <c r="J40" s="51" t="s">
        <v>62</v>
      </c>
      <c r="K40" s="51"/>
      <c r="L40" s="51">
        <v>5</v>
      </c>
      <c r="M40" s="53">
        <f>L40*M37/L37</f>
        <v>4.716981132075472E-2</v>
      </c>
      <c r="P40" s="31"/>
      <c r="Q40" s="32"/>
      <c r="R40" s="32"/>
      <c r="S40" s="33"/>
    </row>
    <row r="41" spans="1:19" ht="15" customHeight="1" x14ac:dyDescent="0.25">
      <c r="A41" s="159" t="s">
        <v>62</v>
      </c>
      <c r="B41" s="160"/>
      <c r="C41" s="54">
        <v>0</v>
      </c>
      <c r="D41" s="54">
        <v>0</v>
      </c>
      <c r="E41" s="54">
        <f>(($C$10*L40)/16)*9</f>
        <v>65.840625000000003</v>
      </c>
      <c r="F41" s="21">
        <v>0</v>
      </c>
      <c r="G41" s="22">
        <f>(E41*131)/100</f>
        <v>86.251218750000007</v>
      </c>
      <c r="H41" s="22">
        <f>(E41*261)/100</f>
        <v>171.84403125</v>
      </c>
      <c r="J41" s="51"/>
      <c r="K41" s="51"/>
      <c r="L41" s="51"/>
      <c r="M41" s="51"/>
      <c r="P41" s="31" t="s">
        <v>52</v>
      </c>
      <c r="Q41" s="32"/>
      <c r="R41" s="32"/>
      <c r="S41" s="33"/>
    </row>
    <row r="42" spans="1:19" ht="15" customHeight="1" x14ac:dyDescent="0.25">
      <c r="A42" s="23"/>
      <c r="B42" s="23"/>
      <c r="C42" s="29">
        <v>0</v>
      </c>
      <c r="D42" s="29">
        <v>0</v>
      </c>
      <c r="E42" s="29">
        <f>(($C$11*L40)/16)*9</f>
        <v>2.8626358695652172</v>
      </c>
      <c r="F42" s="24">
        <f>((((C42/16)*8)+((D42/8)*7))*L42)</f>
        <v>0</v>
      </c>
      <c r="G42" s="25">
        <f>E42*184</f>
        <v>526.72499999999991</v>
      </c>
      <c r="H42" s="25">
        <f>E42*365</f>
        <v>1044.8620923913043</v>
      </c>
      <c r="J42" s="55"/>
      <c r="K42" s="55"/>
      <c r="L42" s="55"/>
      <c r="M42" s="55"/>
      <c r="P42" s="31" t="s">
        <v>53</v>
      </c>
      <c r="Q42" s="32"/>
      <c r="R42" s="34"/>
      <c r="S42" s="35">
        <v>23</v>
      </c>
    </row>
    <row r="43" spans="1:19" x14ac:dyDescent="0.25">
      <c r="I43" s="56"/>
      <c r="J43" s="55"/>
      <c r="K43" s="55"/>
      <c r="L43" s="55"/>
      <c r="P43" s="31" t="s">
        <v>54</v>
      </c>
      <c r="Q43" s="32"/>
      <c r="R43" s="32"/>
      <c r="S43" s="35">
        <v>12.25</v>
      </c>
    </row>
    <row r="44" spans="1:19" x14ac:dyDescent="0.25">
      <c r="A44" s="161" t="s">
        <v>7</v>
      </c>
      <c r="B44" s="162"/>
      <c r="C44" s="18" t="s">
        <v>42</v>
      </c>
      <c r="D44" s="18" t="s">
        <v>43</v>
      </c>
      <c r="E44" s="18" t="s">
        <v>44</v>
      </c>
      <c r="F44" s="18" t="s">
        <v>45</v>
      </c>
      <c r="G44" s="18" t="s">
        <v>46</v>
      </c>
      <c r="H44" s="18" t="s">
        <v>47</v>
      </c>
      <c r="J44" s="55"/>
      <c r="K44" s="55"/>
      <c r="L44" s="55"/>
      <c r="P44" s="36"/>
      <c r="Q44" s="37"/>
      <c r="R44" s="37"/>
      <c r="S44" s="38"/>
    </row>
    <row r="45" spans="1:19" x14ac:dyDescent="0.25">
      <c r="A45" s="163"/>
      <c r="B45" s="164"/>
      <c r="C45" s="19"/>
      <c r="D45" s="19"/>
      <c r="E45" s="19"/>
      <c r="F45" s="20"/>
      <c r="G45" s="20"/>
      <c r="H45" s="20"/>
      <c r="P45" s="39" t="s">
        <v>55</v>
      </c>
    </row>
    <row r="46" spans="1:19" x14ac:dyDescent="0.25">
      <c r="A46" s="155" t="s">
        <v>48</v>
      </c>
      <c r="B46" s="156"/>
      <c r="C46" s="21">
        <f>7.36*L47</f>
        <v>57.408000000000008</v>
      </c>
      <c r="D46" s="21">
        <f>1.96*L47</f>
        <v>15.288</v>
      </c>
      <c r="E46" s="21">
        <f>((C46/16)*9)</f>
        <v>32.292000000000002</v>
      </c>
      <c r="F46" s="21">
        <f>(((C46/16)*8)+((D46/8)*7))</f>
        <v>42.081000000000003</v>
      </c>
      <c r="G46" s="22">
        <f>(((SUM(E46:F46))*157)+(($S$43*24)*27))/100</f>
        <v>196.14561</v>
      </c>
      <c r="H46" s="22">
        <f>(((SUM(E46:F46))*313)+(($S$43*24)*52))/100</f>
        <v>385.66748999999999</v>
      </c>
      <c r="J46" s="50" t="s">
        <v>7</v>
      </c>
      <c r="K46" s="57"/>
      <c r="L46" s="50">
        <v>78</v>
      </c>
      <c r="M46" s="58">
        <v>1</v>
      </c>
    </row>
    <row r="47" spans="1:19" x14ac:dyDescent="0.25">
      <c r="A47" s="157"/>
      <c r="B47" s="158"/>
      <c r="C47" s="24">
        <f>C46/S42</f>
        <v>2.4960000000000004</v>
      </c>
      <c r="D47" s="24">
        <f>D46/S43</f>
        <v>1.248</v>
      </c>
      <c r="E47" s="24">
        <f>((C47/16)*9)</f>
        <v>1.4040000000000004</v>
      </c>
      <c r="F47" s="24">
        <f>(((C47/16)*8)+((D47/8)*7))</f>
        <v>2.3400000000000003</v>
      </c>
      <c r="G47" s="25">
        <f>(E47+F47)*184</f>
        <v>688.89600000000007</v>
      </c>
      <c r="H47" s="25">
        <f>((E47+F47)*365)</f>
        <v>1366.5600000000002</v>
      </c>
      <c r="I47" s="41"/>
      <c r="J47" s="51" t="s">
        <v>48</v>
      </c>
      <c r="K47" s="51"/>
      <c r="L47" s="59">
        <f>L46/M46*M47</f>
        <v>7.8000000000000007</v>
      </c>
      <c r="M47" s="60">
        <v>0.1</v>
      </c>
    </row>
    <row r="48" spans="1:19" x14ac:dyDescent="0.25">
      <c r="A48" s="155" t="s">
        <v>49</v>
      </c>
      <c r="B48" s="156"/>
      <c r="C48" s="26">
        <f>0.44*L48</f>
        <v>29.172000000000001</v>
      </c>
      <c r="D48" s="26">
        <f>0.12*L48</f>
        <v>7.9559999999999995</v>
      </c>
      <c r="E48" s="26">
        <f>(($C$10*L48)/16)*9</f>
        <v>873.04668749999996</v>
      </c>
      <c r="F48" s="21">
        <f>(((C48/16)*8)+((D48/8)*7))</f>
        <v>21.547499999999999</v>
      </c>
      <c r="G48" s="22">
        <f>(((SUM(E48:F48))*157)+(($S$43*24)*27))/100</f>
        <v>1483.892874375</v>
      </c>
      <c r="H48" s="22">
        <f>(((SUM(E48:F48))*313)+(($S$43*24)*52))/100</f>
        <v>2952.9598068749997</v>
      </c>
      <c r="J48" s="51" t="s">
        <v>49</v>
      </c>
      <c r="K48" s="51"/>
      <c r="L48" s="59">
        <f>L46/M46*M48</f>
        <v>66.3</v>
      </c>
      <c r="M48" s="60">
        <v>0.85</v>
      </c>
    </row>
    <row r="49" spans="1:13" x14ac:dyDescent="0.25">
      <c r="C49" s="29">
        <f>C48/S42</f>
        <v>1.2683478260869565</v>
      </c>
      <c r="D49" s="29">
        <f>D48/S43</f>
        <v>0.64946938775510199</v>
      </c>
      <c r="E49" s="29">
        <f>(($C$11*L48)/16)*9</f>
        <v>37.958551630434776</v>
      </c>
      <c r="F49" s="24">
        <f>(((C49/16)*8)+((D49/8)*7))</f>
        <v>1.2024596273291925</v>
      </c>
      <c r="G49" s="25">
        <f>(F49+E49)*184</f>
        <v>7205.62607142857</v>
      </c>
      <c r="H49" s="25">
        <f>((E49+F49)*365)</f>
        <v>14293.769109083847</v>
      </c>
      <c r="J49" s="51" t="s">
        <v>62</v>
      </c>
      <c r="K49" s="51"/>
      <c r="L49" s="59">
        <f>L46/M46*M49</f>
        <v>3.9000000000000004</v>
      </c>
      <c r="M49" s="60">
        <v>0.05</v>
      </c>
    </row>
    <row r="50" spans="1:13" x14ac:dyDescent="0.25">
      <c r="A50" s="159" t="s">
        <v>62</v>
      </c>
      <c r="B50" s="160"/>
      <c r="C50" s="54">
        <v>0</v>
      </c>
      <c r="D50" s="54">
        <v>0</v>
      </c>
      <c r="E50" s="54">
        <f>(($C$10*L49)/16)*9</f>
        <v>51.355687500000002</v>
      </c>
      <c r="F50" s="21">
        <v>0</v>
      </c>
      <c r="G50" s="22">
        <f>(E50*131)/100</f>
        <v>67.275950625000007</v>
      </c>
      <c r="H50" s="22">
        <f>(E50*261)/100</f>
        <v>134.03834437500001</v>
      </c>
      <c r="J50" s="51"/>
      <c r="K50" s="51"/>
      <c r="L50" s="51"/>
      <c r="M50" s="51"/>
    </row>
    <row r="51" spans="1:13" x14ac:dyDescent="0.25">
      <c r="A51" s="23"/>
      <c r="B51" s="23"/>
      <c r="C51" s="29">
        <v>0</v>
      </c>
      <c r="D51" s="29">
        <v>0</v>
      </c>
      <c r="E51" s="29">
        <f>(($C$11*L49)/16)*9</f>
        <v>2.2328559782608695</v>
      </c>
      <c r="F51" s="24">
        <f>((((C51/16)*8)+((D51/8)*7))*L51)</f>
        <v>0</v>
      </c>
      <c r="G51" s="25">
        <f>E51*184</f>
        <v>410.84549999999996</v>
      </c>
      <c r="H51" s="25">
        <f>E51*365</f>
        <v>814.99243206521737</v>
      </c>
      <c r="J51" s="61"/>
      <c r="K51" s="61"/>
      <c r="L51" s="61"/>
      <c r="M51" s="61"/>
    </row>
    <row r="52" spans="1:13" x14ac:dyDescent="0.25">
      <c r="J52" s="61"/>
      <c r="K52" s="61"/>
      <c r="L52" s="61"/>
    </row>
    <row r="53" spans="1:13" x14ac:dyDescent="0.25">
      <c r="A53" s="161" t="s">
        <v>9</v>
      </c>
      <c r="B53" s="162"/>
      <c r="C53" s="18" t="s">
        <v>42</v>
      </c>
      <c r="D53" s="18" t="s">
        <v>43</v>
      </c>
      <c r="E53" s="18" t="s">
        <v>44</v>
      </c>
      <c r="F53" s="18" t="s">
        <v>57</v>
      </c>
      <c r="G53" s="18" t="s">
        <v>46</v>
      </c>
      <c r="H53" s="18" t="s">
        <v>47</v>
      </c>
      <c r="J53" s="61"/>
      <c r="K53" s="61"/>
      <c r="L53" s="61"/>
    </row>
    <row r="54" spans="1:13" x14ac:dyDescent="0.25">
      <c r="A54" s="163"/>
      <c r="B54" s="164"/>
      <c r="C54" s="19"/>
      <c r="D54" s="19"/>
      <c r="E54" s="19"/>
      <c r="F54" s="20"/>
      <c r="G54" s="20"/>
      <c r="H54" s="20"/>
      <c r="I54" s="41"/>
    </row>
    <row r="55" spans="1:13" x14ac:dyDescent="0.25">
      <c r="A55" s="155" t="s">
        <v>48</v>
      </c>
      <c r="B55" s="156"/>
      <c r="C55" s="21">
        <f>5.97*L56</f>
        <v>40.596000000000004</v>
      </c>
      <c r="D55" s="21">
        <f>1.59*L56</f>
        <v>10.812000000000001</v>
      </c>
      <c r="E55" s="21">
        <f>((C55/16)*9)</f>
        <v>22.835250000000002</v>
      </c>
      <c r="F55" s="21">
        <f>(((C55/16)*8)+((D55/8)*7))</f>
        <v>29.758500000000005</v>
      </c>
      <c r="G55" s="22">
        <f>(((SUM(E55:F55))*157)+(($S$43*24)*27))/100</f>
        <v>161.95218750000001</v>
      </c>
      <c r="H55" s="22">
        <f>(((SUM(E55:F55))*313)+(($S$43*24)*52))/100</f>
        <v>317.49843750000002</v>
      </c>
      <c r="J55" s="50" t="s">
        <v>9</v>
      </c>
      <c r="K55" s="57"/>
      <c r="L55" s="50">
        <v>68</v>
      </c>
      <c r="M55" s="58">
        <v>1</v>
      </c>
    </row>
    <row r="56" spans="1:13" x14ac:dyDescent="0.25">
      <c r="A56" s="157"/>
      <c r="B56" s="158"/>
      <c r="C56" s="24">
        <f>C55/S42</f>
        <v>1.7650434782608697</v>
      </c>
      <c r="D56" s="24">
        <f>D55/S43</f>
        <v>0.88261224489795931</v>
      </c>
      <c r="E56" s="24">
        <f>((C56/16)*9)</f>
        <v>0.9928369565217392</v>
      </c>
      <c r="F56" s="24">
        <f>(((C56/16)*8)+((D56/8)*7))</f>
        <v>1.6548074534161492</v>
      </c>
      <c r="G56" s="25">
        <f>(E56+F56)*184</f>
        <v>487.1665714285715</v>
      </c>
      <c r="H56" s="25">
        <f>((E56+F56)*365)</f>
        <v>966.39020962732934</v>
      </c>
      <c r="J56" s="51" t="s">
        <v>48</v>
      </c>
      <c r="K56" s="51"/>
      <c r="L56" s="59">
        <f>L55/M55*M56</f>
        <v>6.8000000000000007</v>
      </c>
      <c r="M56" s="60">
        <v>0.1</v>
      </c>
    </row>
    <row r="57" spans="1:13" x14ac:dyDescent="0.25">
      <c r="A57" s="155" t="s">
        <v>49</v>
      </c>
      <c r="B57" s="156"/>
      <c r="C57" s="26">
        <f>0.5*L57</f>
        <v>28.9</v>
      </c>
      <c r="D57" s="26">
        <f>0.15*L57</f>
        <v>8.67</v>
      </c>
      <c r="E57" s="26">
        <f>(($C$10*L57)/16)*9</f>
        <v>761.11762499999998</v>
      </c>
      <c r="F57" s="21">
        <f>(((C57/16)*8)+((D57/8)*7))</f>
        <v>22.036249999999999</v>
      </c>
      <c r="G57" s="62">
        <f>(((SUM(E57:F57))*157)+(($S$43*24)*27))/100</f>
        <v>1308.9315837500001</v>
      </c>
      <c r="H57" s="62">
        <f>(((SUM(E57:F57))*313)+(($S$43*24)*52))/100</f>
        <v>2604.1516287499999</v>
      </c>
      <c r="J57" s="51" t="s">
        <v>49</v>
      </c>
      <c r="K57" s="51"/>
      <c r="L57" s="59">
        <f>L55/M55*M57</f>
        <v>57.8</v>
      </c>
      <c r="M57" s="60">
        <v>0.85</v>
      </c>
    </row>
    <row r="58" spans="1:13" x14ac:dyDescent="0.25">
      <c r="C58" s="29">
        <f>C57/S42</f>
        <v>1.2565217391304346</v>
      </c>
      <c r="D58" s="29">
        <f>D57/S43</f>
        <v>0.70775510204081638</v>
      </c>
      <c r="E58" s="29">
        <f>(($C$11*L57)/16)*9</f>
        <v>33.092070652173909</v>
      </c>
      <c r="F58" s="24">
        <f>(((C58/16)*8)+((D58/8)*7))</f>
        <v>1.2475465838509316</v>
      </c>
      <c r="G58" s="25">
        <f>(F58+E58)*184</f>
        <v>6318.4895714285713</v>
      </c>
      <c r="H58" s="25">
        <f>((E58+F58)*365)</f>
        <v>12533.960291149067</v>
      </c>
      <c r="J58" s="51" t="s">
        <v>62</v>
      </c>
      <c r="K58" s="51"/>
      <c r="L58" s="59">
        <f>L55/M55*M58</f>
        <v>3.4000000000000004</v>
      </c>
      <c r="M58" s="60">
        <v>0.05</v>
      </c>
    </row>
    <row r="59" spans="1:13" x14ac:dyDescent="0.25">
      <c r="A59" s="159" t="s">
        <v>62</v>
      </c>
      <c r="B59" s="160"/>
      <c r="C59" s="54">
        <v>0</v>
      </c>
      <c r="D59" s="54">
        <v>0</v>
      </c>
      <c r="E59" s="54">
        <f>(($C$10*L58)/16)*9</f>
        <v>44.771625000000007</v>
      </c>
      <c r="F59" s="21">
        <v>0</v>
      </c>
      <c r="G59" s="63">
        <f>(E59*131)/100</f>
        <v>58.650828750000009</v>
      </c>
      <c r="H59" s="62">
        <f>(E59*261)/100</f>
        <v>116.85394125000002</v>
      </c>
      <c r="J59" s="51"/>
      <c r="K59" s="51"/>
      <c r="L59" s="51"/>
      <c r="M59" s="51"/>
    </row>
    <row r="60" spans="1:13" x14ac:dyDescent="0.25">
      <c r="A60" s="23"/>
      <c r="B60" s="23"/>
      <c r="C60" s="29">
        <v>0</v>
      </c>
      <c r="D60" s="29">
        <v>0</v>
      </c>
      <c r="E60" s="29">
        <f>(($C$11*L58)/16)*9</f>
        <v>1.9465923913043479</v>
      </c>
      <c r="F60" s="24">
        <f>((((C60/16)*8)+((D60/8)*7))*L58)</f>
        <v>0</v>
      </c>
      <c r="G60" s="25">
        <f>E60*184</f>
        <v>358.173</v>
      </c>
      <c r="H60" s="25">
        <f>E60*365</f>
        <v>710.50622282608697</v>
      </c>
    </row>
    <row r="64" spans="1:13" ht="15.75" x14ac:dyDescent="0.25">
      <c r="C64" s="64"/>
      <c r="D64" s="64"/>
      <c r="E64" s="64"/>
      <c r="F64" s="64"/>
    </row>
    <row r="65" spans="1:8" x14ac:dyDescent="0.25">
      <c r="C65" s="65"/>
      <c r="D65" s="65"/>
      <c r="E65" s="65"/>
      <c r="F65" s="65"/>
    </row>
    <row r="66" spans="1:8" ht="18.75" x14ac:dyDescent="0.3">
      <c r="A66" s="66"/>
      <c r="C66" s="67"/>
      <c r="D66" s="67"/>
      <c r="E66" s="67"/>
      <c r="F66" s="68"/>
    </row>
    <row r="68" spans="1:8" ht="18.75" x14ac:dyDescent="0.3">
      <c r="A68" s="66"/>
      <c r="B68" s="55"/>
      <c r="C68" s="69"/>
      <c r="D68" s="69"/>
      <c r="E68" s="69"/>
      <c r="F68" s="70"/>
      <c r="G68" s="71"/>
      <c r="H68" s="71"/>
    </row>
    <row r="69" spans="1:8" x14ac:dyDescent="0.25">
      <c r="G69" s="71"/>
      <c r="H69" s="71"/>
    </row>
    <row r="70" spans="1:8" x14ac:dyDescent="0.25">
      <c r="A70" s="72"/>
      <c r="B70" s="72"/>
      <c r="C70" s="72"/>
      <c r="D70" s="72"/>
      <c r="E70" s="72"/>
      <c r="F70" s="72"/>
    </row>
    <row r="71" spans="1:8" ht="15" customHeight="1" x14ac:dyDescent="0.25">
      <c r="A71" s="154" t="s">
        <v>63</v>
      </c>
      <c r="B71" s="154"/>
      <c r="C71" s="154"/>
      <c r="D71" s="154"/>
      <c r="E71" s="154"/>
      <c r="F71" s="154"/>
    </row>
    <row r="72" spans="1:8" ht="15" customHeight="1" x14ac:dyDescent="0.25">
      <c r="A72" s="154"/>
      <c r="B72" s="154"/>
      <c r="C72" s="154"/>
      <c r="D72" s="154"/>
      <c r="E72" s="154"/>
      <c r="F72" s="154"/>
    </row>
    <row r="73" spans="1:8" ht="15" customHeight="1" x14ac:dyDescent="0.25">
      <c r="A73" s="154"/>
      <c r="B73" s="154"/>
      <c r="C73" s="154"/>
      <c r="D73" s="154"/>
      <c r="E73" s="154"/>
      <c r="F73" s="154"/>
    </row>
    <row r="74" spans="1:8" ht="15.75" x14ac:dyDescent="0.25">
      <c r="A74" s="73"/>
      <c r="B74" s="73"/>
      <c r="C74" s="74" t="s">
        <v>5</v>
      </c>
      <c r="D74" s="75" t="s">
        <v>7</v>
      </c>
      <c r="E74" s="74" t="s">
        <v>9</v>
      </c>
      <c r="F74" s="75" t="s">
        <v>64</v>
      </c>
    </row>
    <row r="75" spans="1:8" x14ac:dyDescent="0.25">
      <c r="A75" s="73"/>
      <c r="B75" s="73"/>
      <c r="C75" s="76" t="s">
        <v>65</v>
      </c>
      <c r="D75" s="77" t="s">
        <v>66</v>
      </c>
      <c r="E75" s="76" t="s">
        <v>67</v>
      </c>
      <c r="F75" s="77" t="s">
        <v>68</v>
      </c>
    </row>
    <row r="76" spans="1:8" ht="18.75" x14ac:dyDescent="0.3">
      <c r="A76" s="78" t="s">
        <v>69</v>
      </c>
      <c r="B76" s="73"/>
      <c r="C76" s="79">
        <f>(((SUM(F37,F39,F41))*131)+(((S43*8)+(S42*16))*26)+((S43*24)*27))/100</f>
        <v>454.62479285714289</v>
      </c>
      <c r="D76" s="80">
        <f>(((SUM(F46,F48,F50))*131)+(((S43*8)+(S42*16))*26)+((S43*24)*27))/100</f>
        <v>283.89333499999998</v>
      </c>
      <c r="E76" s="79">
        <f>(((SUM(F55,F57,F59))*131)+(((S43*8)+(S42*16))*26)+((S43*24)*27))/100</f>
        <v>268.39112249999999</v>
      </c>
      <c r="F76" s="81">
        <f>SUM(C76:E76)</f>
        <v>1006.9092503571428</v>
      </c>
    </row>
    <row r="77" spans="1:8" x14ac:dyDescent="0.25">
      <c r="A77" s="73"/>
      <c r="B77" s="73"/>
      <c r="C77" s="82"/>
      <c r="D77" s="34"/>
      <c r="E77" s="82"/>
      <c r="F77" s="34"/>
    </row>
    <row r="78" spans="1:8" ht="18.75" x14ac:dyDescent="0.3">
      <c r="A78" s="78" t="s">
        <v>70</v>
      </c>
      <c r="B78" s="83"/>
      <c r="C78" s="84">
        <f>((SUM(F38,F40,F42))*131)+((SUM(E38:F38,E40:F40,E42:F42))*53)</f>
        <v>5226.0498263087811</v>
      </c>
      <c r="D78" s="85">
        <f>((SUM(F47,F49,F51))*131)+((SUM(E47:F47,E49:F49,E51:F51))*53)</f>
        <v>2856.369174689441</v>
      </c>
      <c r="E78" s="84">
        <f>((SUM(F56,F58,F60))*131)+((SUM(E56:F56,E58:F58,E60:F60))*53)</f>
        <v>2443.702642857143</v>
      </c>
      <c r="F78" s="86">
        <f>SUM(C78:E78)</f>
        <v>10526.121643855366</v>
      </c>
    </row>
    <row r="80" spans="1:8" ht="15" customHeight="1" x14ac:dyDescent="0.25">
      <c r="A80" s="154" t="s">
        <v>71</v>
      </c>
      <c r="B80" s="154"/>
      <c r="C80" s="154"/>
      <c r="D80" s="154"/>
      <c r="E80" s="154"/>
      <c r="F80" s="154"/>
    </row>
    <row r="81" spans="1:6" ht="15" customHeight="1" x14ac:dyDescent="0.25">
      <c r="A81" s="154"/>
      <c r="B81" s="154"/>
      <c r="C81" s="154"/>
      <c r="D81" s="154"/>
      <c r="E81" s="154"/>
      <c r="F81" s="154"/>
    </row>
    <row r="82" spans="1:6" ht="15" customHeight="1" x14ac:dyDescent="0.25">
      <c r="A82" s="154"/>
      <c r="B82" s="154"/>
      <c r="C82" s="154"/>
      <c r="D82" s="154"/>
      <c r="E82" s="154"/>
      <c r="F82" s="154"/>
    </row>
    <row r="83" spans="1:6" ht="15.75" x14ac:dyDescent="0.25">
      <c r="A83" s="73"/>
      <c r="B83" s="73"/>
      <c r="C83" s="74" t="s">
        <v>5</v>
      </c>
      <c r="D83" s="75" t="s">
        <v>7</v>
      </c>
      <c r="E83" s="74" t="s">
        <v>9</v>
      </c>
      <c r="F83" s="75" t="s">
        <v>64</v>
      </c>
    </row>
    <row r="84" spans="1:6" x14ac:dyDescent="0.25">
      <c r="A84" s="73"/>
      <c r="B84" s="73"/>
      <c r="C84" s="76" t="s">
        <v>65</v>
      </c>
      <c r="D84" s="77" t="s">
        <v>66</v>
      </c>
      <c r="E84" s="76" t="s">
        <v>67</v>
      </c>
      <c r="F84" s="77" t="s">
        <v>68</v>
      </c>
    </row>
    <row r="85" spans="1:6" ht="18.75" x14ac:dyDescent="0.3">
      <c r="A85" s="78" t="s">
        <v>69</v>
      </c>
      <c r="B85" s="73"/>
      <c r="C85" s="79">
        <f>(((SUM(E37:F37,E39:F39,E41:F41))*157)+((24*S43)*27))/100</f>
        <v>2575.3331982142859</v>
      </c>
      <c r="D85" s="80">
        <f>(((SUM(E46:F46,E48:F48,E50:F50))*157)+((24*S43)*27))/100</f>
        <v>1681.2869137500002</v>
      </c>
      <c r="E85" s="79">
        <f>(((SUM(E55:F55,E57:F57,E59:F59))*157)+((24*S43)*27))/100</f>
        <v>1461.7952224999999</v>
      </c>
      <c r="F85" s="81">
        <f>SUM(C85:E85)</f>
        <v>5718.4153344642864</v>
      </c>
    </row>
    <row r="86" spans="1:6" x14ac:dyDescent="0.25">
      <c r="A86" s="73"/>
      <c r="B86" s="73"/>
      <c r="C86" s="82"/>
      <c r="D86" s="34"/>
      <c r="E86" s="79"/>
      <c r="F86" s="34"/>
    </row>
    <row r="87" spans="1:6" ht="18.75" x14ac:dyDescent="0.3">
      <c r="A87" s="78" t="s">
        <v>70</v>
      </c>
      <c r="B87" s="83"/>
      <c r="C87" s="84">
        <f>SUM(E38:F38,E40:F40,E42:F42)*184</f>
        <v>13176.162163265293</v>
      </c>
      <c r="D87" s="85">
        <f>SUM(E47:F47,E49:F49,E51:F51)*184</f>
        <v>8305.367571428571</v>
      </c>
      <c r="E87" s="84">
        <f>SUM(E56:F56,E58:F58,E60:F60)*184</f>
        <v>7163.8291428571429</v>
      </c>
      <c r="F87" s="86">
        <f>SUM(C87:E87)</f>
        <v>28645.358877551007</v>
      </c>
    </row>
    <row r="89" spans="1:6" ht="15" customHeight="1" x14ac:dyDescent="0.25">
      <c r="A89" s="154" t="s">
        <v>72</v>
      </c>
      <c r="B89" s="154"/>
      <c r="C89" s="154"/>
      <c r="D89" s="154"/>
      <c r="E89" s="154"/>
      <c r="F89" s="154"/>
    </row>
    <row r="90" spans="1:6" ht="15" customHeight="1" x14ac:dyDescent="0.25">
      <c r="A90" s="154"/>
      <c r="B90" s="154"/>
      <c r="C90" s="154"/>
      <c r="D90" s="154"/>
      <c r="E90" s="154"/>
      <c r="F90" s="154"/>
    </row>
    <row r="91" spans="1:6" ht="15" customHeight="1" x14ac:dyDescent="0.25">
      <c r="A91" s="154"/>
      <c r="B91" s="154"/>
      <c r="C91" s="154"/>
      <c r="D91" s="154"/>
      <c r="E91" s="154"/>
      <c r="F91" s="154"/>
    </row>
    <row r="92" spans="1:6" ht="15.75" x14ac:dyDescent="0.25">
      <c r="A92" s="73"/>
      <c r="B92" s="73"/>
      <c r="C92" s="74" t="s">
        <v>5</v>
      </c>
      <c r="D92" s="75" t="s">
        <v>7</v>
      </c>
      <c r="E92" s="74" t="s">
        <v>9</v>
      </c>
      <c r="F92" s="75" t="s">
        <v>64</v>
      </c>
    </row>
    <row r="93" spans="1:6" x14ac:dyDescent="0.25">
      <c r="A93" s="73"/>
      <c r="B93" s="73"/>
      <c r="C93" s="76" t="s">
        <v>65</v>
      </c>
      <c r="D93" s="77" t="s">
        <v>66</v>
      </c>
      <c r="E93" s="76" t="s">
        <v>67</v>
      </c>
      <c r="F93" s="77" t="s">
        <v>68</v>
      </c>
    </row>
    <row r="94" spans="1:6" ht="18.75" x14ac:dyDescent="0.3">
      <c r="A94" s="78" t="s">
        <v>69</v>
      </c>
      <c r="B94" s="73"/>
      <c r="C94" s="87">
        <f>C85-C76</f>
        <v>2120.708405357143</v>
      </c>
      <c r="D94" s="88">
        <f t="shared" ref="D94:E94" si="0">D85-D76</f>
        <v>1397.3935787500002</v>
      </c>
      <c r="E94" s="87">
        <f t="shared" si="0"/>
        <v>1193.4041</v>
      </c>
      <c r="F94" s="81">
        <f>SUM(C94:E94)</f>
        <v>4711.5060841071427</v>
      </c>
    </row>
    <row r="95" spans="1:6" x14ac:dyDescent="0.25">
      <c r="A95" s="73"/>
      <c r="B95" s="73"/>
      <c r="C95" s="89"/>
      <c r="D95" s="90"/>
      <c r="E95" s="89"/>
      <c r="F95" s="34"/>
    </row>
    <row r="96" spans="1:6" ht="18.75" x14ac:dyDescent="0.3">
      <c r="A96" s="78" t="s">
        <v>70</v>
      </c>
      <c r="B96" s="83"/>
      <c r="C96" s="91">
        <f>C87-C78</f>
        <v>7950.1123369565121</v>
      </c>
      <c r="D96" s="92">
        <f t="shared" ref="D96:E96" si="1">D87-D78</f>
        <v>5448.9983967391299</v>
      </c>
      <c r="E96" s="91">
        <f t="shared" si="1"/>
        <v>4720.1265000000003</v>
      </c>
      <c r="F96" s="86">
        <f>SUM(C96:E96)</f>
        <v>18119.23723369564</v>
      </c>
    </row>
    <row r="97" spans="1:7" x14ac:dyDescent="0.25">
      <c r="A97" s="72"/>
      <c r="B97" s="72"/>
      <c r="C97" s="72"/>
      <c r="D97" s="72"/>
      <c r="E97" s="72"/>
      <c r="F97" s="72"/>
    </row>
    <row r="98" spans="1:7" x14ac:dyDescent="0.25">
      <c r="A98" s="154" t="s">
        <v>73</v>
      </c>
      <c r="B98" s="154"/>
      <c r="C98" s="154"/>
      <c r="D98" s="154"/>
      <c r="E98" s="154"/>
      <c r="F98" s="154"/>
    </row>
    <row r="99" spans="1:7" x14ac:dyDescent="0.25">
      <c r="A99" s="154"/>
      <c r="B99" s="154"/>
      <c r="C99" s="154"/>
      <c r="D99" s="154"/>
      <c r="E99" s="154"/>
      <c r="F99" s="154"/>
      <c r="G99" s="55" t="s">
        <v>72</v>
      </c>
    </row>
    <row r="100" spans="1:7" x14ac:dyDescent="0.25">
      <c r="A100" s="154"/>
      <c r="B100" s="154"/>
      <c r="C100" s="154"/>
      <c r="D100" s="154"/>
      <c r="E100" s="154"/>
      <c r="F100" s="154"/>
      <c r="G100" s="55" t="s">
        <v>74</v>
      </c>
    </row>
    <row r="101" spans="1:7" ht="15.75" x14ac:dyDescent="0.25">
      <c r="A101" s="73"/>
      <c r="B101" s="73"/>
      <c r="C101" s="74" t="s">
        <v>5</v>
      </c>
      <c r="D101" s="75" t="s">
        <v>7</v>
      </c>
      <c r="E101" s="74" t="s">
        <v>9</v>
      </c>
      <c r="F101" s="75" t="s">
        <v>64</v>
      </c>
    </row>
    <row r="102" spans="1:7" x14ac:dyDescent="0.25">
      <c r="A102" s="73"/>
      <c r="B102" s="73"/>
      <c r="C102" s="76" t="s">
        <v>65</v>
      </c>
      <c r="D102" s="77" t="s">
        <v>66</v>
      </c>
      <c r="E102" s="76" t="s">
        <v>67</v>
      </c>
      <c r="F102" s="77" t="s">
        <v>68</v>
      </c>
    </row>
    <row r="103" spans="1:7" ht="18.75" x14ac:dyDescent="0.3">
      <c r="A103" s="78" t="s">
        <v>69</v>
      </c>
      <c r="B103" s="73"/>
      <c r="C103" s="79">
        <f>(((SUM(F37,F39,F41))*261)+((($S$43*8)+($S$42*16))*52)+(($S$43*24)*52))/100</f>
        <v>901.43000714285711</v>
      </c>
      <c r="D103" s="80">
        <f>(((SUM(F46,F48,F50))*261)+((($S$43*8)+($S$42*16))*52)+(($S$43*24)*52))/100</f>
        <v>561.27038500000003</v>
      </c>
      <c r="E103" s="79">
        <f>(((SUM(F55,F57,F59))*261)+((($S$43*8)+($S$42*16))*52)+(($S$43*24)*52))/100</f>
        <v>530.3842975</v>
      </c>
      <c r="F103" s="81">
        <f>SUM(C103:E103)</f>
        <v>1993.0846896428573</v>
      </c>
    </row>
    <row r="104" spans="1:7" x14ac:dyDescent="0.25">
      <c r="A104" s="73"/>
      <c r="B104" s="73"/>
      <c r="C104" s="82"/>
      <c r="D104" s="34"/>
      <c r="E104" s="82"/>
      <c r="F104" s="34"/>
    </row>
    <row r="105" spans="1:7" ht="18.75" x14ac:dyDescent="0.3">
      <c r="A105" s="78" t="s">
        <v>70</v>
      </c>
      <c r="B105" s="83"/>
      <c r="C105" s="84">
        <f>((SUM(F38,F40,F42))*261)+((SUM(E38:F38,E40:F40,E42:F42))*104)</f>
        <v>10297.958802129539</v>
      </c>
      <c r="D105" s="85">
        <f>((SUM(F47,F49,F51))*261)+((SUM(E47:F47,E49:F49,E51:F51))*104)</f>
        <v>5618.9201552795021</v>
      </c>
      <c r="E105" s="84">
        <f>((SUM(F56,F58,F60))*261)+((SUM(E56:F56,E58:F58,E60:F60))*104)</f>
        <v>4806.635223602485</v>
      </c>
      <c r="F105" s="86">
        <f>SUM(C105:E105)</f>
        <v>20723.514181011524</v>
      </c>
    </row>
    <row r="107" spans="1:7" x14ac:dyDescent="0.25">
      <c r="A107" s="154" t="s">
        <v>75</v>
      </c>
      <c r="B107" s="154"/>
      <c r="C107" s="154"/>
      <c r="D107" s="154"/>
      <c r="E107" s="154"/>
      <c r="F107" s="154"/>
    </row>
    <row r="108" spans="1:7" x14ac:dyDescent="0.25">
      <c r="A108" s="154"/>
      <c r="B108" s="154"/>
      <c r="C108" s="154"/>
      <c r="D108" s="154"/>
      <c r="E108" s="154"/>
      <c r="F108" s="154"/>
    </row>
    <row r="109" spans="1:7" x14ac:dyDescent="0.25">
      <c r="A109" s="154"/>
      <c r="B109" s="154"/>
      <c r="C109" s="154"/>
      <c r="D109" s="154"/>
      <c r="E109" s="154"/>
      <c r="F109" s="154"/>
    </row>
    <row r="110" spans="1:7" ht="15.75" x14ac:dyDescent="0.25">
      <c r="A110" s="73"/>
      <c r="B110" s="73"/>
      <c r="C110" s="74" t="s">
        <v>5</v>
      </c>
      <c r="D110" s="75" t="s">
        <v>7</v>
      </c>
      <c r="E110" s="74" t="s">
        <v>9</v>
      </c>
      <c r="F110" s="75" t="s">
        <v>64</v>
      </c>
    </row>
    <row r="111" spans="1:7" x14ac:dyDescent="0.25">
      <c r="A111" s="73"/>
      <c r="B111" s="73"/>
      <c r="C111" s="76" t="s">
        <v>65</v>
      </c>
      <c r="D111" s="77" t="s">
        <v>66</v>
      </c>
      <c r="E111" s="76" t="s">
        <v>67</v>
      </c>
      <c r="F111" s="77" t="s">
        <v>68</v>
      </c>
    </row>
    <row r="112" spans="1:7" ht="18.75" x14ac:dyDescent="0.3">
      <c r="A112" s="78" t="s">
        <v>69</v>
      </c>
      <c r="B112" s="73"/>
      <c r="C112" s="79">
        <f>(((SUM(E37:F37,E39:F39,E41:F41))*313)+((24*$S$43)*52))/100</f>
        <v>5128.8886053571441</v>
      </c>
      <c r="D112" s="80">
        <f>(((SUM(E46:F46,E48:F48,E50:F50))*313)+((24*$S$43)*52))/100</f>
        <v>3346.4905987500006</v>
      </c>
      <c r="E112" s="79">
        <f>(((SUM(E55:F55,E57:F57,E59:F59))*313)+((24*$S$43)*52))/100</f>
        <v>2908.9052525000002</v>
      </c>
      <c r="F112" s="81">
        <f>SUM(C112:E112)</f>
        <v>11384.284456607145</v>
      </c>
    </row>
    <row r="113" spans="1:6" x14ac:dyDescent="0.25">
      <c r="A113" s="73"/>
      <c r="B113" s="73"/>
      <c r="C113" s="82"/>
      <c r="D113" s="34"/>
      <c r="E113" s="79"/>
      <c r="F113" s="34"/>
    </row>
    <row r="114" spans="1:6" ht="18.75" x14ac:dyDescent="0.3">
      <c r="A114" s="78" t="s">
        <v>70</v>
      </c>
      <c r="B114" s="83"/>
      <c r="C114" s="84">
        <f>SUM(E38:F38,E40:F40,E42:F42)*365</f>
        <v>26137.495595607783</v>
      </c>
      <c r="D114" s="85">
        <f>SUM(E47:F47,E49:F49,E51:F51)*365</f>
        <v>16475.321541149067</v>
      </c>
      <c r="E114" s="84">
        <f>SUM(E56:F56,E58:F58,E60:F60)*365</f>
        <v>14210.856723602485</v>
      </c>
      <c r="F114" s="86">
        <f>SUM(C114:E114)</f>
        <v>56823.673860359333</v>
      </c>
    </row>
    <row r="116" spans="1:6" x14ac:dyDescent="0.25">
      <c r="A116" s="154" t="s">
        <v>72</v>
      </c>
      <c r="B116" s="154"/>
      <c r="C116" s="154"/>
      <c r="D116" s="154"/>
      <c r="E116" s="154"/>
      <c r="F116" s="154"/>
    </row>
    <row r="117" spans="1:6" x14ac:dyDescent="0.25">
      <c r="A117" s="154"/>
      <c r="B117" s="154"/>
      <c r="C117" s="154"/>
      <c r="D117" s="154"/>
      <c r="E117" s="154"/>
      <c r="F117" s="154"/>
    </row>
    <row r="118" spans="1:6" x14ac:dyDescent="0.25">
      <c r="A118" s="154"/>
      <c r="B118" s="154"/>
      <c r="C118" s="154"/>
      <c r="D118" s="154"/>
      <c r="E118" s="154"/>
      <c r="F118" s="154"/>
    </row>
    <row r="119" spans="1:6" ht="15.75" x14ac:dyDescent="0.25">
      <c r="A119" s="73"/>
      <c r="B119" s="73"/>
      <c r="C119" s="74" t="s">
        <v>5</v>
      </c>
      <c r="D119" s="75" t="s">
        <v>7</v>
      </c>
      <c r="E119" s="74" t="s">
        <v>9</v>
      </c>
      <c r="F119" s="75" t="s">
        <v>64</v>
      </c>
    </row>
    <row r="120" spans="1:6" x14ac:dyDescent="0.25">
      <c r="A120" s="73"/>
      <c r="B120" s="73"/>
      <c r="C120" s="76" t="s">
        <v>65</v>
      </c>
      <c r="D120" s="77" t="s">
        <v>66</v>
      </c>
      <c r="E120" s="76" t="s">
        <v>67</v>
      </c>
      <c r="F120" s="77" t="s">
        <v>68</v>
      </c>
    </row>
    <row r="121" spans="1:6" ht="18.75" x14ac:dyDescent="0.3">
      <c r="A121" s="78" t="s">
        <v>69</v>
      </c>
      <c r="B121" s="73"/>
      <c r="C121" s="87">
        <f>C112-C103</f>
        <v>4227.4585982142871</v>
      </c>
      <c r="D121" s="88">
        <f t="shared" ref="D121:E121" si="2">D112-D103</f>
        <v>2785.2202137500008</v>
      </c>
      <c r="E121" s="87">
        <f t="shared" si="2"/>
        <v>2378.520955</v>
      </c>
      <c r="F121" s="81">
        <f>SUM(C121:E121)</f>
        <v>9391.1997669642878</v>
      </c>
    </row>
    <row r="122" spans="1:6" x14ac:dyDescent="0.25">
      <c r="A122" s="73"/>
      <c r="B122" s="73"/>
      <c r="C122" s="89"/>
      <c r="D122" s="90"/>
      <c r="E122" s="89"/>
      <c r="F122" s="34"/>
    </row>
    <row r="123" spans="1:6" ht="18.75" x14ac:dyDescent="0.3">
      <c r="A123" s="78" t="s">
        <v>70</v>
      </c>
      <c r="B123" s="83"/>
      <c r="C123" s="91">
        <f>C114-C105</f>
        <v>15839.536793478244</v>
      </c>
      <c r="D123" s="92">
        <f t="shared" ref="D123:E123" si="3">D114-D105</f>
        <v>10856.401385869565</v>
      </c>
      <c r="E123" s="91">
        <f t="shared" si="3"/>
        <v>9404.2214999999997</v>
      </c>
      <c r="F123" s="86">
        <f>SUM(C123:E123)</f>
        <v>36100.159679347809</v>
      </c>
    </row>
  </sheetData>
  <mergeCells count="34">
    <mergeCell ref="A1:H4"/>
    <mergeCell ref="A8:B9"/>
    <mergeCell ref="A10:B10"/>
    <mergeCell ref="A12:B12"/>
    <mergeCell ref="L12:N12"/>
    <mergeCell ref="P39:R39"/>
    <mergeCell ref="A41:B41"/>
    <mergeCell ref="A17:B17"/>
    <mergeCell ref="A18:B18"/>
    <mergeCell ref="A19:B19"/>
    <mergeCell ref="A22:B23"/>
    <mergeCell ref="A24:B24"/>
    <mergeCell ref="A25:B25"/>
    <mergeCell ref="A15:B16"/>
    <mergeCell ref="A53:B54"/>
    <mergeCell ref="A26:B26"/>
    <mergeCell ref="A35:B36"/>
    <mergeCell ref="A37:B37"/>
    <mergeCell ref="A39:B39"/>
    <mergeCell ref="A44:B45"/>
    <mergeCell ref="A46:B46"/>
    <mergeCell ref="A47:B47"/>
    <mergeCell ref="A48:B48"/>
    <mergeCell ref="A50:B50"/>
    <mergeCell ref="A89:F91"/>
    <mergeCell ref="A98:F100"/>
    <mergeCell ref="A107:F109"/>
    <mergeCell ref="A116:F118"/>
    <mergeCell ref="A55:B55"/>
    <mergeCell ref="A56:B56"/>
    <mergeCell ref="A57:B57"/>
    <mergeCell ref="A59:B59"/>
    <mergeCell ref="A71:F73"/>
    <mergeCell ref="A80:F8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S123"/>
  <sheetViews>
    <sheetView topLeftCell="B22" zoomScale="90" zoomScaleNormal="90" workbookViewId="0">
      <selection activeCell="A37" sqref="A37:B37"/>
    </sheetView>
  </sheetViews>
  <sheetFormatPr baseColWidth="10" defaultColWidth="10.7109375" defaultRowHeight="12.75" x14ac:dyDescent="0.25"/>
  <cols>
    <col min="1" max="1" width="23" style="55" customWidth="1"/>
    <col min="2" max="2" width="11.42578125" style="55" customWidth="1"/>
    <col min="3" max="3" width="32.85546875" style="55" customWidth="1"/>
    <col min="4" max="4" width="33.7109375" style="55" customWidth="1"/>
    <col min="5" max="5" width="31.140625" style="55" customWidth="1"/>
    <col min="6" max="6" width="33" style="55" customWidth="1"/>
    <col min="7" max="8" width="30" style="55" customWidth="1"/>
    <col min="9" max="9" width="13" style="55" bestFit="1" customWidth="1"/>
    <col min="10" max="11" width="10.7109375" style="55"/>
    <col min="12" max="12" width="13.42578125" style="55" bestFit="1" customWidth="1"/>
    <col min="13" max="13" width="14.42578125" style="55" bestFit="1" customWidth="1"/>
    <col min="14" max="14" width="10.7109375" style="55"/>
    <col min="15" max="15" width="14.42578125" style="55" bestFit="1" customWidth="1"/>
    <col min="16" max="16" width="10.7109375" style="55"/>
    <col min="17" max="17" width="14.42578125" style="55" bestFit="1" customWidth="1"/>
    <col min="18" max="18" width="10.7109375" style="55"/>
    <col min="19" max="19" width="14.42578125" style="55" bestFit="1" customWidth="1"/>
    <col min="20" max="16384" width="10.7109375" style="55"/>
  </cols>
  <sheetData>
    <row r="1" spans="1:15" ht="12.75" customHeight="1" x14ac:dyDescent="0.25">
      <c r="A1" s="167" t="s">
        <v>76</v>
      </c>
      <c r="B1" s="167"/>
      <c r="C1" s="167"/>
      <c r="D1" s="167"/>
      <c r="E1" s="167"/>
      <c r="F1" s="167"/>
      <c r="G1" s="167"/>
      <c r="H1" s="167"/>
    </row>
    <row r="2" spans="1:15" ht="12.75" customHeight="1" x14ac:dyDescent="0.25">
      <c r="A2" s="167"/>
      <c r="B2" s="167"/>
      <c r="C2" s="167"/>
      <c r="D2" s="167"/>
      <c r="E2" s="167"/>
      <c r="F2" s="167"/>
      <c r="G2" s="167"/>
      <c r="H2" s="167"/>
    </row>
    <row r="3" spans="1:15" ht="12.75" customHeight="1" x14ac:dyDescent="0.25">
      <c r="A3" s="167"/>
      <c r="B3" s="167"/>
      <c r="C3" s="167"/>
      <c r="D3" s="167"/>
      <c r="E3" s="167"/>
      <c r="F3" s="167"/>
      <c r="G3" s="167"/>
      <c r="H3" s="167"/>
    </row>
    <row r="4" spans="1:15" ht="12.75" customHeight="1" x14ac:dyDescent="0.25">
      <c r="A4" s="167"/>
      <c r="B4" s="167"/>
      <c r="C4" s="167"/>
      <c r="D4" s="167"/>
      <c r="E4" s="167"/>
      <c r="F4" s="167"/>
      <c r="G4" s="167"/>
      <c r="H4" s="167"/>
    </row>
    <row r="5" spans="1:15" ht="15" x14ac:dyDescent="0.25">
      <c r="A5"/>
      <c r="B5"/>
      <c r="C5"/>
      <c r="D5"/>
      <c r="E5"/>
      <c r="F5"/>
    </row>
    <row r="6" spans="1:15" ht="15" x14ac:dyDescent="0.25">
      <c r="A6"/>
      <c r="B6"/>
      <c r="C6"/>
      <c r="D6"/>
      <c r="E6"/>
      <c r="F6"/>
    </row>
    <row r="7" spans="1:15" ht="15" x14ac:dyDescent="0.25">
      <c r="A7" s="17"/>
      <c r="B7" s="17"/>
      <c r="C7"/>
      <c r="D7"/>
      <c r="E7"/>
      <c r="F7"/>
    </row>
    <row r="8" spans="1:15" ht="15" customHeight="1" x14ac:dyDescent="0.25">
      <c r="A8" s="161" t="s">
        <v>5</v>
      </c>
      <c r="B8" s="162"/>
      <c r="C8" s="18" t="s">
        <v>42</v>
      </c>
      <c r="D8" s="18" t="s">
        <v>43</v>
      </c>
      <c r="E8" s="18" t="s">
        <v>44</v>
      </c>
      <c r="F8" s="18" t="s">
        <v>45</v>
      </c>
      <c r="G8" s="18" t="s">
        <v>46</v>
      </c>
      <c r="H8" s="18" t="s">
        <v>47</v>
      </c>
      <c r="I8"/>
      <c r="J8"/>
      <c r="K8"/>
      <c r="L8"/>
      <c r="M8"/>
    </row>
    <row r="9" spans="1:15" ht="15" customHeight="1" x14ac:dyDescent="0.25">
      <c r="A9" s="163"/>
      <c r="B9" s="164"/>
      <c r="C9" s="19"/>
      <c r="D9" s="19"/>
      <c r="E9" s="19"/>
      <c r="F9" s="20"/>
      <c r="G9" s="20"/>
      <c r="H9" s="20"/>
      <c r="I9"/>
      <c r="J9"/>
      <c r="K9"/>
      <c r="L9"/>
      <c r="M9"/>
    </row>
    <row r="10" spans="1:15" ht="15" x14ac:dyDescent="0.25">
      <c r="A10" s="155" t="s">
        <v>48</v>
      </c>
      <c r="B10" s="156"/>
      <c r="C10" s="93">
        <f>C11*$O$15</f>
        <v>26.056347826086917</v>
      </c>
      <c r="D10" s="93">
        <f>D11*$O$16</f>
        <v>7.5644081632653064</v>
      </c>
      <c r="E10" s="93">
        <f>E11*$O$15</f>
        <v>14.656695652173889</v>
      </c>
      <c r="F10" s="93">
        <f>((C10/16)*8)+((D10/8)*7)</f>
        <v>19.647031055900602</v>
      </c>
      <c r="G10" s="93">
        <f>(E10+F10)*184</f>
        <v>6311.8857142857069</v>
      </c>
      <c r="H10" s="94">
        <f>((E10+F10)*365)/100</f>
        <v>125.2086024844719</v>
      </c>
      <c r="I10"/>
      <c r="J10"/>
      <c r="K10"/>
      <c r="L10"/>
      <c r="M10"/>
    </row>
    <row r="11" spans="1:15" customFormat="1" ht="15" x14ac:dyDescent="0.25">
      <c r="A11" s="23"/>
      <c r="B11" s="23"/>
      <c r="C11" s="95">
        <v>1.0178260869565201</v>
      </c>
      <c r="D11" s="95">
        <v>0.50938775510204082</v>
      </c>
      <c r="E11" s="95">
        <f>(C11/16)*9</f>
        <v>0.57252717391304253</v>
      </c>
      <c r="F11" s="95">
        <f>((C11/16)*8)+((D11/8)*7)</f>
        <v>0.95462732919254578</v>
      </c>
      <c r="G11" s="95">
        <f>(E11+F11)*184</f>
        <v>280.99642857142823</v>
      </c>
      <c r="H11" s="95">
        <f>(E11+F11)*365</f>
        <v>557.41139363353966</v>
      </c>
    </row>
    <row r="12" spans="1:15" ht="15" x14ac:dyDescent="0.25">
      <c r="A12" s="155" t="s">
        <v>49</v>
      </c>
      <c r="B12" s="156"/>
      <c r="C12" s="96">
        <f>C13*$O$15</f>
        <v>0.22987755102040819</v>
      </c>
      <c r="D12" s="96">
        <f>D13*$O$16</f>
        <v>3.6367346938775511E-2</v>
      </c>
      <c r="E12" s="96">
        <f>E13*$O$15</f>
        <v>0.1293061224489796</v>
      </c>
      <c r="F12" s="93">
        <f>((C12/16)*8)+((D12/8)*7)</f>
        <v>0.14676020408163265</v>
      </c>
      <c r="G12" s="93">
        <f>(E12+F12)*184</f>
        <v>50.796204081632652</v>
      </c>
      <c r="H12" s="94">
        <f>((E12+F12)*365)/100</f>
        <v>1.0076420918367348</v>
      </c>
      <c r="I12"/>
      <c r="L12" s="97" t="s">
        <v>50</v>
      </c>
      <c r="M12" s="98"/>
      <c r="N12" s="98"/>
      <c r="O12" s="28" t="s">
        <v>51</v>
      </c>
    </row>
    <row r="13" spans="1:15" ht="15" x14ac:dyDescent="0.25">
      <c r="A13" s="23"/>
      <c r="B13" s="23"/>
      <c r="C13" s="99">
        <v>8.979591836734694E-3</v>
      </c>
      <c r="D13" s="99">
        <v>2.4489795918367346E-3</v>
      </c>
      <c r="E13" s="99">
        <f>(C13/16)*9</f>
        <v>5.0510204081632652E-3</v>
      </c>
      <c r="F13" s="95">
        <f>((C13/16)*8)+((D13/8)*7)</f>
        <v>6.6326530612244895E-3</v>
      </c>
      <c r="G13" s="95">
        <f>(E13+F13)*184</f>
        <v>2.1497959183673467</v>
      </c>
      <c r="H13" s="95">
        <f>(E13+F13)*365</f>
        <v>4.2645408163265301</v>
      </c>
      <c r="K13" s="1"/>
      <c r="L13" s="100" t="s">
        <v>77</v>
      </c>
      <c r="M13" s="101"/>
      <c r="N13" s="101"/>
      <c r="O13" s="32"/>
    </row>
    <row r="14" spans="1:15" ht="15" x14ac:dyDescent="0.25">
      <c r="A14"/>
      <c r="B14"/>
      <c r="C14"/>
      <c r="D14"/>
      <c r="E14"/>
      <c r="F14"/>
      <c r="G14"/>
      <c r="H14"/>
      <c r="I14"/>
      <c r="L14" s="31"/>
      <c r="M14" s="32"/>
      <c r="N14" s="32"/>
      <c r="O14" s="32"/>
    </row>
    <row r="15" spans="1:15" ht="15" customHeight="1" x14ac:dyDescent="0.25">
      <c r="A15" s="161" t="s">
        <v>7</v>
      </c>
      <c r="B15" s="162"/>
      <c r="C15" s="18" t="s">
        <v>42</v>
      </c>
      <c r="D15" s="18" t="s">
        <v>43</v>
      </c>
      <c r="E15" s="18" t="s">
        <v>44</v>
      </c>
      <c r="F15" s="18" t="s">
        <v>45</v>
      </c>
      <c r="G15" s="18" t="s">
        <v>46</v>
      </c>
      <c r="H15" s="18" t="s">
        <v>47</v>
      </c>
      <c r="I15"/>
      <c r="L15" s="31" t="s">
        <v>52</v>
      </c>
      <c r="M15" s="32"/>
      <c r="N15" s="32"/>
      <c r="O15" s="35">
        <v>25.6</v>
      </c>
    </row>
    <row r="16" spans="1:15" ht="15" customHeight="1" x14ac:dyDescent="0.25">
      <c r="A16" s="163"/>
      <c r="B16" s="164"/>
      <c r="C16" s="19"/>
      <c r="D16" s="19"/>
      <c r="E16" s="19"/>
      <c r="F16" s="20"/>
      <c r="G16" s="20"/>
      <c r="H16" s="20"/>
      <c r="I16"/>
      <c r="L16" s="31" t="s">
        <v>53</v>
      </c>
      <c r="M16" s="32"/>
      <c r="N16" s="34"/>
      <c r="O16" s="35">
        <v>14.85</v>
      </c>
    </row>
    <row r="17" spans="1:15" ht="15" x14ac:dyDescent="0.25">
      <c r="A17" s="155" t="s">
        <v>48</v>
      </c>
      <c r="B17" s="156"/>
      <c r="C17" s="93">
        <f>C18*$O$15</f>
        <v>8.1920000000000002</v>
      </c>
      <c r="D17" s="93">
        <f>D18*$O$16</f>
        <v>2.3759999999999999</v>
      </c>
      <c r="E17" s="93">
        <f>E18*$O$15</f>
        <v>4.6079999999999997</v>
      </c>
      <c r="F17" s="93">
        <f>((C17/16)*8)+((D17/8)*7)</f>
        <v>6.1749999999999998</v>
      </c>
      <c r="G17" s="93">
        <f>(E17+F17)*184</f>
        <v>1984.0719999999999</v>
      </c>
      <c r="H17" s="94">
        <f>((E17+F17)*365)/100</f>
        <v>39.357949999999995</v>
      </c>
      <c r="I17"/>
      <c r="L17" s="31" t="s">
        <v>54</v>
      </c>
      <c r="M17" s="32"/>
      <c r="N17" s="32"/>
      <c r="O17" s="32"/>
    </row>
    <row r="18" spans="1:15" ht="15" x14ac:dyDescent="0.25">
      <c r="A18" s="157"/>
      <c r="B18" s="158"/>
      <c r="C18" s="95">
        <v>0.32</v>
      </c>
      <c r="D18" s="95">
        <v>0.16</v>
      </c>
      <c r="E18" s="95">
        <f>(C18/16)*9</f>
        <v>0.18</v>
      </c>
      <c r="F18" s="95">
        <f>((C18/16)*8)+((D18/8)*7)</f>
        <v>0.30000000000000004</v>
      </c>
      <c r="G18" s="95">
        <f>(E18+F18)*184</f>
        <v>88.320000000000007</v>
      </c>
      <c r="H18" s="95">
        <f>(E18+F18)*365</f>
        <v>175.20000000000002</v>
      </c>
      <c r="I18"/>
      <c r="L18" s="31"/>
      <c r="M18" s="37"/>
      <c r="N18" s="37"/>
      <c r="O18" s="32"/>
    </row>
    <row r="19" spans="1:15" ht="15" x14ac:dyDescent="0.25">
      <c r="A19" s="155" t="s">
        <v>49</v>
      </c>
      <c r="B19" s="156"/>
      <c r="C19" s="96">
        <f>C20*$O$15</f>
        <v>0.48973913043478262</v>
      </c>
      <c r="D19" s="96">
        <f>D20*$O$16</f>
        <v>0.14546938775510204</v>
      </c>
      <c r="E19" s="96">
        <f>E20*$O$15</f>
        <v>0.27547826086956523</v>
      </c>
      <c r="F19" s="93">
        <f>((C19/16)*8)+((D19/8)*7)</f>
        <v>0.37215527950310556</v>
      </c>
      <c r="G19" s="93">
        <f>(E19+F19)*184</f>
        <v>119.16457142857142</v>
      </c>
      <c r="H19" s="94">
        <f>((E19+F19)*365)/100</f>
        <v>2.3638624223602482</v>
      </c>
      <c r="I19"/>
      <c r="L19" s="168" t="s">
        <v>78</v>
      </c>
      <c r="M19" s="168"/>
      <c r="N19" s="168"/>
      <c r="O19" s="168"/>
    </row>
    <row r="20" spans="1:15" ht="15" customHeight="1" x14ac:dyDescent="0.25">
      <c r="A20"/>
      <c r="B20"/>
      <c r="C20" s="99">
        <v>1.9130434782608695E-2</v>
      </c>
      <c r="D20" s="99">
        <v>9.7959183673469383E-3</v>
      </c>
      <c r="E20" s="99">
        <f>C20/16*9</f>
        <v>1.0760869565217391E-2</v>
      </c>
      <c r="F20" s="95">
        <f>((C20/16)*8)+((D20/8)*7)</f>
        <v>1.8136645962732918E-2</v>
      </c>
      <c r="G20" s="95">
        <f>(E20+F20)*184</f>
        <v>5.3171428571428567</v>
      </c>
      <c r="H20" s="95">
        <f>(E20+F20)*365</f>
        <v>10.547593167701862</v>
      </c>
      <c r="I20"/>
      <c r="L20" s="102" t="s">
        <v>79</v>
      </c>
      <c r="M20" s="102"/>
      <c r="N20" s="102"/>
      <c r="O20" s="102"/>
    </row>
    <row r="21" spans="1:15" ht="15" x14ac:dyDescent="0.25">
      <c r="A21"/>
      <c r="B21"/>
      <c r="C21"/>
      <c r="D21"/>
      <c r="E21"/>
      <c r="F21"/>
      <c r="G21"/>
      <c r="H21"/>
      <c r="I21"/>
    </row>
    <row r="22" spans="1:15" ht="15" customHeight="1" x14ac:dyDescent="0.25">
      <c r="A22" s="161" t="s">
        <v>9</v>
      </c>
      <c r="B22" s="162"/>
      <c r="C22" s="18" t="s">
        <v>42</v>
      </c>
      <c r="D22" s="18" t="s">
        <v>43</v>
      </c>
      <c r="E22" s="18" t="s">
        <v>44</v>
      </c>
      <c r="F22" s="18" t="s">
        <v>57</v>
      </c>
      <c r="G22" s="18" t="s">
        <v>46</v>
      </c>
      <c r="H22" s="18" t="s">
        <v>47</v>
      </c>
      <c r="I22"/>
      <c r="J22"/>
      <c r="K22"/>
      <c r="L22"/>
      <c r="M22"/>
    </row>
    <row r="23" spans="1:15" ht="15" customHeight="1" x14ac:dyDescent="0.25">
      <c r="A23" s="163"/>
      <c r="B23" s="164"/>
      <c r="C23" s="19"/>
      <c r="D23" s="19"/>
      <c r="E23" s="19"/>
      <c r="F23" s="20"/>
      <c r="G23" s="20"/>
      <c r="H23" s="20"/>
      <c r="I23"/>
      <c r="J23"/>
      <c r="K23"/>
      <c r="L23"/>
      <c r="M23"/>
    </row>
    <row r="24" spans="1:15" ht="15" x14ac:dyDescent="0.25">
      <c r="A24" s="155" t="s">
        <v>48</v>
      </c>
      <c r="B24" s="156"/>
      <c r="C24" s="93">
        <f>C25*$O$15</f>
        <v>6.644869565217391</v>
      </c>
      <c r="D24" s="93">
        <f>D25*$O$16</f>
        <v>1.9274693877551021</v>
      </c>
      <c r="E24" s="93">
        <f>E25*$O$15</f>
        <v>3.7377391304347825</v>
      </c>
      <c r="F24" s="93">
        <f>((C24/16)*8)+((D24/8)*7)</f>
        <v>5.0089704968944098</v>
      </c>
      <c r="G24" s="93">
        <f>(E24+F24)*184</f>
        <v>1609.3945714285715</v>
      </c>
      <c r="H24" s="94">
        <f>((E24+F24)*365)/100</f>
        <v>31.925490139751549</v>
      </c>
    </row>
    <row r="25" spans="1:15" ht="15" x14ac:dyDescent="0.25">
      <c r="A25" s="157"/>
      <c r="B25" s="158"/>
      <c r="C25" s="95">
        <v>0.25956521739130434</v>
      </c>
      <c r="D25" s="95">
        <v>0.12979591836734694</v>
      </c>
      <c r="E25" s="95">
        <f>(C25/16)*9</f>
        <v>0.14600543478260869</v>
      </c>
      <c r="F25" s="95">
        <f>((C25/16)*8)+((D25/8)*7)</f>
        <v>0.24335403726708074</v>
      </c>
      <c r="G25" s="95">
        <f>(E25+F25)*184</f>
        <v>71.642142857142858</v>
      </c>
      <c r="H25" s="95">
        <f>(E25+F25)*365</f>
        <v>142.11620729813666</v>
      </c>
    </row>
    <row r="26" spans="1:15" ht="15" x14ac:dyDescent="0.25">
      <c r="A26" s="155" t="s">
        <v>49</v>
      </c>
      <c r="B26" s="156"/>
      <c r="C26" s="93">
        <f>C27*$O$15</f>
        <v>0.55652173913043479</v>
      </c>
      <c r="D26" s="96">
        <f>D27*$O$16</f>
        <v>0.18183673469387754</v>
      </c>
      <c r="E26" s="96">
        <f>E27*$O$15</f>
        <v>0.31304347826086953</v>
      </c>
      <c r="F26" s="93">
        <f>((C26/16)*8)+((D26/8)*7)</f>
        <v>0.43736801242236023</v>
      </c>
      <c r="G26" s="93">
        <f>(E26+F26)*184</f>
        <v>138.07571428571427</v>
      </c>
      <c r="H26" s="94">
        <f>((E26+F26)*365)/100</f>
        <v>2.7390019409937882</v>
      </c>
    </row>
    <row r="27" spans="1:15" ht="15" x14ac:dyDescent="0.25">
      <c r="A27"/>
      <c r="B27"/>
      <c r="C27" s="99">
        <v>2.1739130434782608E-2</v>
      </c>
      <c r="D27" s="99">
        <v>1.2244897959183673E-2</v>
      </c>
      <c r="E27" s="99">
        <f>(C27/16)*9</f>
        <v>1.2228260869565216E-2</v>
      </c>
      <c r="F27" s="95">
        <f>((C27/16)*8)+((D27/8)*7)</f>
        <v>2.1583850931677018E-2</v>
      </c>
      <c r="G27" s="95">
        <f>(E27+F27)*184</f>
        <v>6.2214285714285706</v>
      </c>
      <c r="H27" s="95">
        <f>(E27+F27)*365</f>
        <v>12.341420807453414</v>
      </c>
    </row>
    <row r="28" spans="1:15" ht="15" x14ac:dyDescent="0.25">
      <c r="A28"/>
      <c r="B28"/>
      <c r="C28"/>
      <c r="D28"/>
      <c r="E28"/>
      <c r="F28"/>
    </row>
    <row r="31" spans="1:15" x14ac:dyDescent="0.25">
      <c r="A31" s="103"/>
      <c r="B31" s="103"/>
      <c r="C31" s="103"/>
      <c r="D31" s="103"/>
      <c r="E31" s="103"/>
      <c r="F31" s="103"/>
      <c r="G31" s="103"/>
      <c r="H31" s="103"/>
    </row>
    <row r="35" spans="1:19" ht="15" customHeight="1" x14ac:dyDescent="0.25">
      <c r="A35" s="161" t="s">
        <v>5</v>
      </c>
      <c r="B35" s="162"/>
      <c r="C35" s="18" t="s">
        <v>42</v>
      </c>
      <c r="D35" s="18" t="s">
        <v>43</v>
      </c>
      <c r="E35" s="18" t="s">
        <v>44</v>
      </c>
      <c r="F35" s="18" t="s">
        <v>45</v>
      </c>
      <c r="G35" s="18" t="s">
        <v>46</v>
      </c>
      <c r="H35" s="18" t="s">
        <v>47</v>
      </c>
      <c r="I35"/>
      <c r="J35"/>
      <c r="K35"/>
      <c r="L35"/>
      <c r="M35"/>
    </row>
    <row r="36" spans="1:19" ht="15" customHeight="1" x14ac:dyDescent="0.25">
      <c r="A36" s="163"/>
      <c r="B36" s="164"/>
      <c r="C36" s="19"/>
      <c r="D36" s="19"/>
      <c r="E36" s="19"/>
      <c r="F36" s="20"/>
      <c r="G36" s="20"/>
      <c r="H36" s="20"/>
      <c r="I36"/>
      <c r="J36"/>
      <c r="K36"/>
      <c r="L36"/>
      <c r="M36"/>
    </row>
    <row r="37" spans="1:19" ht="15" x14ac:dyDescent="0.25">
      <c r="A37" s="155" t="s">
        <v>48</v>
      </c>
      <c r="B37" s="156"/>
      <c r="C37" s="93">
        <f>C10*L38</f>
        <v>286.6198260869561</v>
      </c>
      <c r="D37" s="93">
        <f>D10*L38</f>
        <v>83.208489795918368</v>
      </c>
      <c r="E37" s="93">
        <f>((C37/16)*9)</f>
        <v>161.2236521739128</v>
      </c>
      <c r="F37" s="93">
        <f>(((C37/16)*8)+((D37/8)*7))</f>
        <v>216.11734161490662</v>
      </c>
      <c r="G37" s="104">
        <f>(((SUM(E37:F37))*157)+(($S$43*24)*27))/100</f>
        <v>688.65336024844657</v>
      </c>
      <c r="H37" s="104">
        <f>(((SUM(E37:F37))*313)+(($S$43*24)*52))/100</f>
        <v>1366.4053105590046</v>
      </c>
      <c r="I37"/>
      <c r="J37" s="50" t="s">
        <v>61</v>
      </c>
      <c r="K37" s="51"/>
      <c r="L37" s="50">
        <v>106</v>
      </c>
      <c r="M37" s="52">
        <v>1</v>
      </c>
    </row>
    <row r="38" spans="1:19" ht="15" x14ac:dyDescent="0.25">
      <c r="A38" s="23"/>
      <c r="B38" s="23"/>
      <c r="C38" s="95">
        <f>C11*L38</f>
        <v>11.196086956521722</v>
      </c>
      <c r="D38" s="95">
        <f>D11*L38</f>
        <v>5.6032653061224487</v>
      </c>
      <c r="E38" s="95">
        <f>((C38/16)*9)</f>
        <v>6.2977989130434686</v>
      </c>
      <c r="F38" s="95">
        <f>(((C38/16)*8)+((D38/8)*7))</f>
        <v>10.500900621118003</v>
      </c>
      <c r="G38" s="95">
        <f>16.8*184</f>
        <v>3091.2000000000003</v>
      </c>
      <c r="H38" s="95">
        <f>((E38+F38)*365)</f>
        <v>6131.5253299689375</v>
      </c>
      <c r="I38"/>
      <c r="J38" s="51" t="s">
        <v>48</v>
      </c>
      <c r="K38" s="51"/>
      <c r="L38" s="51">
        <v>11</v>
      </c>
      <c r="M38" s="53">
        <f>L38*M37/L37</f>
        <v>0.10377358490566038</v>
      </c>
    </row>
    <row r="39" spans="1:19" ht="15" x14ac:dyDescent="0.25">
      <c r="A39" s="155" t="s">
        <v>49</v>
      </c>
      <c r="B39" s="156"/>
      <c r="C39" s="96">
        <f>C12*L39</f>
        <v>20.688979591836738</v>
      </c>
      <c r="D39" s="96">
        <f>D12*L39</f>
        <v>3.2730612244897959</v>
      </c>
      <c r="E39" s="96">
        <f>(($C$10*L39)/16)*9</f>
        <v>1319.1026086956504</v>
      </c>
      <c r="F39" s="93">
        <f>(((C39/16)*8)+((D39/8)*7))</f>
        <v>13.20841836734694</v>
      </c>
      <c r="G39" s="104">
        <f>(((SUM(E39:F39))*157)+(($S$43*24)*27))/100</f>
        <v>2187.9563124889055</v>
      </c>
      <c r="H39" s="104">
        <f>(((SUM(E39:F39))*313)+(($S$43*24)*52))/100</f>
        <v>4355.4615147071818</v>
      </c>
      <c r="I39"/>
      <c r="J39" s="51" t="s">
        <v>49</v>
      </c>
      <c r="K39" s="51"/>
      <c r="L39" s="51">
        <v>90</v>
      </c>
      <c r="M39" s="53">
        <f>L39*M37/L37</f>
        <v>0.84905660377358494</v>
      </c>
      <c r="P39" s="165" t="s">
        <v>50</v>
      </c>
      <c r="Q39" s="166"/>
      <c r="R39" s="166"/>
      <c r="S39" s="28" t="s">
        <v>51</v>
      </c>
    </row>
    <row r="40" spans="1:19" ht="15" x14ac:dyDescent="0.25">
      <c r="A40" s="23"/>
      <c r="B40" s="23"/>
      <c r="C40" s="99">
        <f>C13*L39</f>
        <v>0.80816326530612248</v>
      </c>
      <c r="D40" s="99">
        <v>0.02</v>
      </c>
      <c r="E40" s="99">
        <f>(($C$11*L39)/16)*9</f>
        <v>51.527445652173832</v>
      </c>
      <c r="F40" s="95">
        <f>(((C40/16)*8)+(D40/8)*7)</f>
        <v>0.42158163265306126</v>
      </c>
      <c r="G40" s="95">
        <f>51.95*184</f>
        <v>9558.8000000000011</v>
      </c>
      <c r="H40" s="95">
        <v>18961.108173247529</v>
      </c>
      <c r="I40"/>
      <c r="J40" s="51" t="s">
        <v>62</v>
      </c>
      <c r="K40" s="51"/>
      <c r="L40" s="51">
        <v>5</v>
      </c>
      <c r="M40" s="53">
        <f>L40*M37/L37</f>
        <v>4.716981132075472E-2</v>
      </c>
      <c r="P40" s="100" t="s">
        <v>77</v>
      </c>
      <c r="Q40" s="32"/>
      <c r="R40" s="32"/>
      <c r="S40" s="33"/>
    </row>
    <row r="41" spans="1:19" ht="15" x14ac:dyDescent="0.25">
      <c r="A41" s="159" t="s">
        <v>62</v>
      </c>
      <c r="B41" s="170"/>
      <c r="C41" s="105">
        <v>0</v>
      </c>
      <c r="D41" s="105">
        <f>D40/S43</f>
        <v>1.3468013468013469E-3</v>
      </c>
      <c r="E41" s="105">
        <f>(($C$10*L40)/16)*9</f>
        <v>73.283478260869444</v>
      </c>
      <c r="F41" s="93">
        <v>0</v>
      </c>
      <c r="G41" s="104">
        <f>(E41*131)/100</f>
        <v>96.001356521738984</v>
      </c>
      <c r="H41" s="104">
        <f>(E41*261)/100</f>
        <v>191.26987826086926</v>
      </c>
      <c r="I41"/>
      <c r="J41" s="51"/>
      <c r="K41" s="51"/>
      <c r="L41" s="51"/>
      <c r="M41" s="51"/>
      <c r="P41" s="31" t="s">
        <v>52</v>
      </c>
      <c r="Q41" s="101"/>
      <c r="R41" s="101"/>
      <c r="S41" s="33"/>
    </row>
    <row r="42" spans="1:19" ht="15" x14ac:dyDescent="0.25">
      <c r="A42" s="23"/>
      <c r="B42" s="23"/>
      <c r="C42" s="99">
        <v>0</v>
      </c>
      <c r="D42" s="99">
        <v>0</v>
      </c>
      <c r="E42" s="99">
        <f>(($C$11*L40)/16)*9</f>
        <v>2.8626358695652128</v>
      </c>
      <c r="F42" s="95">
        <f>((((C42/16)*8)+((D42/8)*7))*L42)</f>
        <v>0</v>
      </c>
      <c r="G42" s="95">
        <f>E42*184</f>
        <v>526.72499999999911</v>
      </c>
      <c r="H42" s="95">
        <f>E42*365</f>
        <v>1044.8620923913027</v>
      </c>
      <c r="I42"/>
      <c r="P42" s="31" t="s">
        <v>53</v>
      </c>
      <c r="Q42" s="32"/>
      <c r="R42" s="32"/>
      <c r="S42" s="35">
        <v>25.6</v>
      </c>
    </row>
    <row r="43" spans="1:19" ht="15" x14ac:dyDescent="0.25">
      <c r="A43"/>
      <c r="B43"/>
      <c r="C43"/>
      <c r="D43"/>
      <c r="E43"/>
      <c r="F43"/>
      <c r="G43"/>
      <c r="H43"/>
      <c r="I43"/>
      <c r="P43" s="31" t="s">
        <v>54</v>
      </c>
      <c r="Q43" s="32"/>
      <c r="R43" s="32"/>
      <c r="S43" s="35">
        <v>14.85</v>
      </c>
    </row>
    <row r="44" spans="1:19" ht="15" customHeight="1" x14ac:dyDescent="0.25">
      <c r="A44" s="161" t="s">
        <v>7</v>
      </c>
      <c r="B44" s="162"/>
      <c r="C44" s="18" t="s">
        <v>42</v>
      </c>
      <c r="D44" s="18" t="s">
        <v>43</v>
      </c>
      <c r="E44" s="18" t="s">
        <v>44</v>
      </c>
      <c r="F44" s="18" t="s">
        <v>45</v>
      </c>
      <c r="G44" s="18" t="s">
        <v>46</v>
      </c>
      <c r="H44" s="106" t="s">
        <v>47</v>
      </c>
      <c r="I44"/>
      <c r="P44" s="36"/>
      <c r="Q44" s="37"/>
      <c r="R44" s="37"/>
      <c r="S44" s="38"/>
    </row>
    <row r="45" spans="1:19" ht="15" customHeight="1" x14ac:dyDescent="0.25">
      <c r="A45" s="163"/>
      <c r="B45" s="164"/>
      <c r="C45" s="19"/>
      <c r="D45" s="19"/>
      <c r="E45" s="19"/>
      <c r="F45" s="20"/>
      <c r="G45" s="20"/>
      <c r="H45" s="20"/>
      <c r="I45"/>
      <c r="P45" s="168" t="s">
        <v>78</v>
      </c>
      <c r="Q45" s="168"/>
      <c r="R45" s="168"/>
      <c r="S45" s="168"/>
    </row>
    <row r="46" spans="1:19" ht="15" x14ac:dyDescent="0.25">
      <c r="A46" s="155" t="s">
        <v>48</v>
      </c>
      <c r="B46" s="156"/>
      <c r="C46" s="93">
        <f>C17*L47</f>
        <v>63.897600000000004</v>
      </c>
      <c r="D46" s="93">
        <f>D17*L47</f>
        <v>18.532800000000002</v>
      </c>
      <c r="E46" s="93">
        <f>((C46/16)*9)</f>
        <v>35.942399999999999</v>
      </c>
      <c r="F46" s="93">
        <f>(((C46/16)*8)+((D46/8)*7))</f>
        <v>48.165000000000006</v>
      </c>
      <c r="G46" s="104">
        <f>(((SUM(E46:F46))*157)+(($S$43*24)*27))/100</f>
        <v>228.27661800000001</v>
      </c>
      <c r="H46" s="104">
        <f>(((SUM(E46:F46))*313)+(($S$43*24)*52))/100</f>
        <v>448.58416200000005</v>
      </c>
      <c r="I46"/>
      <c r="J46" s="50" t="s">
        <v>7</v>
      </c>
      <c r="K46" s="57"/>
      <c r="L46" s="50">
        <v>78</v>
      </c>
      <c r="M46" s="58">
        <v>1</v>
      </c>
      <c r="O46" s="107"/>
      <c r="P46" s="169" t="s">
        <v>79</v>
      </c>
      <c r="Q46" s="169"/>
      <c r="R46" s="169"/>
      <c r="S46" s="169"/>
    </row>
    <row r="47" spans="1:19" ht="15" customHeight="1" x14ac:dyDescent="0.25">
      <c r="A47" s="157"/>
      <c r="B47" s="158"/>
      <c r="C47" s="95">
        <f>C18*L47</f>
        <v>2.4960000000000004</v>
      </c>
      <c r="D47" s="95">
        <f>D18*L47</f>
        <v>1.2480000000000002</v>
      </c>
      <c r="E47" s="95">
        <f>((C47/16)*9)</f>
        <v>1.4040000000000004</v>
      </c>
      <c r="F47" s="95">
        <f>(((C47/16)*8)+((D47/8)*7))</f>
        <v>2.3400000000000003</v>
      </c>
      <c r="G47" s="95">
        <f>(E47+F47)*184</f>
        <v>688.89600000000007</v>
      </c>
      <c r="H47" s="95">
        <f>((E47+F47)*365)</f>
        <v>1366.5600000000002</v>
      </c>
      <c r="I47"/>
      <c r="J47" s="51" t="s">
        <v>48</v>
      </c>
      <c r="K47" s="51"/>
      <c r="L47" s="59">
        <f>L46/M46*M47</f>
        <v>7.8000000000000007</v>
      </c>
      <c r="M47" s="60">
        <v>0.1</v>
      </c>
      <c r="O47" s="108"/>
    </row>
    <row r="48" spans="1:19" ht="15" x14ac:dyDescent="0.25">
      <c r="A48" s="155" t="s">
        <v>49</v>
      </c>
      <c r="B48" s="156"/>
      <c r="C48" s="96">
        <f>C19*L48</f>
        <v>32.469704347826088</v>
      </c>
      <c r="D48" s="96">
        <f>L48*D19</f>
        <v>9.6446204081632647</v>
      </c>
      <c r="E48" s="96">
        <f>(($C$10*L48)/16)*9</f>
        <v>971.73892173912895</v>
      </c>
      <c r="F48" s="93">
        <f>(((C48/16)*8)+((D48/8)*7))</f>
        <v>24.673895031055899</v>
      </c>
      <c r="G48" s="104">
        <f>(((SUM(E48:F48))*157)+(($S$43*24)*27))/100</f>
        <v>1660.5961223291899</v>
      </c>
      <c r="H48" s="104">
        <f>(((SUM(E48:F48))*313)+(($S$43*24)*52))/100</f>
        <v>3304.1001164906779</v>
      </c>
      <c r="I48"/>
      <c r="J48" s="51" t="s">
        <v>49</v>
      </c>
      <c r="K48" s="51"/>
      <c r="L48" s="59">
        <f>L46/M46*M48</f>
        <v>66.3</v>
      </c>
      <c r="M48" s="60">
        <v>0.85</v>
      </c>
      <c r="O48"/>
    </row>
    <row r="49" spans="1:13" ht="15" x14ac:dyDescent="0.25">
      <c r="A49"/>
      <c r="B49"/>
      <c r="C49" s="99">
        <f>C20*L48</f>
        <v>1.2683478260869565</v>
      </c>
      <c r="D49" s="99">
        <f>D20*L48</f>
        <v>0.64946938775510199</v>
      </c>
      <c r="E49" s="99">
        <f>(($C$11*L48)/16)*9</f>
        <v>37.958551630434719</v>
      </c>
      <c r="F49" s="95">
        <f>(((C49/16)*8)+((D49/8)*7))</f>
        <v>1.2024596273291925</v>
      </c>
      <c r="G49" s="95">
        <f>(F49+E49)*184</f>
        <v>7205.626071428559</v>
      </c>
      <c r="H49" s="95">
        <f>((E49+F49)*365)</f>
        <v>14293.769109083827</v>
      </c>
      <c r="I49"/>
      <c r="J49" s="51" t="s">
        <v>62</v>
      </c>
      <c r="K49" s="51"/>
      <c r="L49" s="59">
        <f>L46/M46*M49</f>
        <v>3.9000000000000004</v>
      </c>
      <c r="M49" s="60">
        <v>0.05</v>
      </c>
    </row>
    <row r="50" spans="1:13" ht="15" x14ac:dyDescent="0.25">
      <c r="A50" s="159" t="s">
        <v>62</v>
      </c>
      <c r="B50" s="170"/>
      <c r="C50" s="105">
        <v>0</v>
      </c>
      <c r="D50" s="105">
        <v>0</v>
      </c>
      <c r="E50" s="105">
        <f>(($C$10*L49)/16)*9</f>
        <v>57.161113043478174</v>
      </c>
      <c r="F50" s="93">
        <v>0</v>
      </c>
      <c r="G50" s="104">
        <f>(E50*131)/100</f>
        <v>74.881058086956415</v>
      </c>
      <c r="H50" s="104">
        <f>(E50*261)/100</f>
        <v>149.19050504347805</v>
      </c>
      <c r="J50" s="51"/>
      <c r="K50" s="51"/>
      <c r="L50" s="51"/>
      <c r="M50" s="51"/>
    </row>
    <row r="51" spans="1:13" ht="15" x14ac:dyDescent="0.25">
      <c r="A51" s="23"/>
      <c r="B51" s="23"/>
      <c r="C51" s="99">
        <v>0</v>
      </c>
      <c r="D51" s="99">
        <v>0</v>
      </c>
      <c r="E51" s="99">
        <f>(($C$11*L49)/16)*9</f>
        <v>2.2328559782608663</v>
      </c>
      <c r="F51" s="95">
        <f>((((C51/16)*8)+((D51/8)*7))*L51)</f>
        <v>0</v>
      </c>
      <c r="G51" s="95">
        <f>E51*184</f>
        <v>410.84549999999939</v>
      </c>
      <c r="H51" s="95">
        <f>E51*365</f>
        <v>814.99243206521624</v>
      </c>
      <c r="J51" s="61"/>
      <c r="K51" s="61"/>
      <c r="L51" s="61"/>
      <c r="M51" s="61"/>
    </row>
    <row r="52" spans="1:13" ht="15" x14ac:dyDescent="0.25">
      <c r="A52"/>
      <c r="B52"/>
      <c r="C52"/>
      <c r="D52"/>
      <c r="E52"/>
      <c r="F52"/>
      <c r="G52"/>
      <c r="H52"/>
      <c r="J52" s="61"/>
      <c r="K52" s="61"/>
      <c r="L52" s="61"/>
      <c r="M52" s="61"/>
    </row>
    <row r="53" spans="1:13" ht="15" customHeight="1" x14ac:dyDescent="0.25">
      <c r="A53" s="161" t="s">
        <v>9</v>
      </c>
      <c r="B53" s="162"/>
      <c r="C53" s="18" t="s">
        <v>42</v>
      </c>
      <c r="D53" s="18" t="s">
        <v>43</v>
      </c>
      <c r="E53" s="18" t="s">
        <v>44</v>
      </c>
      <c r="F53" s="18" t="s">
        <v>57</v>
      </c>
      <c r="G53" s="18" t="s">
        <v>46</v>
      </c>
      <c r="H53" s="106" t="s">
        <v>47</v>
      </c>
      <c r="J53" s="61"/>
      <c r="K53" s="61"/>
      <c r="L53" s="61"/>
      <c r="M53" s="61"/>
    </row>
    <row r="54" spans="1:13" ht="15" customHeight="1" x14ac:dyDescent="0.25">
      <c r="A54" s="163"/>
      <c r="B54" s="164"/>
      <c r="C54" s="19"/>
      <c r="D54" s="19"/>
      <c r="E54" s="19"/>
      <c r="F54" s="20"/>
      <c r="G54" s="20"/>
      <c r="H54" s="20"/>
      <c r="J54" s="61"/>
      <c r="K54" s="61"/>
      <c r="L54" s="61"/>
      <c r="M54" s="61"/>
    </row>
    <row r="55" spans="1:13" ht="15" x14ac:dyDescent="0.25">
      <c r="A55" s="155" t="s">
        <v>48</v>
      </c>
      <c r="B55" s="156"/>
      <c r="C55" s="93">
        <f>C24*L56</f>
        <v>45.18511304347826</v>
      </c>
      <c r="D55" s="93">
        <f>D24*L56</f>
        <v>13.106791836734695</v>
      </c>
      <c r="E55" s="93">
        <f>((C55/16)*9)</f>
        <v>25.416626086956523</v>
      </c>
      <c r="F55" s="93">
        <f>(((C55/16)*8)+((D55/8)*7))</f>
        <v>34.060999378881988</v>
      </c>
      <c r="G55" s="104">
        <f>(((SUM(E55:F55))*157)+(($S$43*24)*27))/100</f>
        <v>189.60787198136649</v>
      </c>
      <c r="H55" s="104">
        <f>(((SUM(E55:F55))*313)+(($S$43*24)*52))/100</f>
        <v>371.49296770807456</v>
      </c>
      <c r="J55" s="50" t="s">
        <v>9</v>
      </c>
      <c r="K55" s="57"/>
      <c r="L55" s="50">
        <v>68</v>
      </c>
      <c r="M55" s="58">
        <v>1</v>
      </c>
    </row>
    <row r="56" spans="1:13" ht="15" x14ac:dyDescent="0.25">
      <c r="A56" s="157"/>
      <c r="B56" s="158"/>
      <c r="C56" s="95">
        <f>C25*L56</f>
        <v>1.7650434782608697</v>
      </c>
      <c r="D56" s="95">
        <f>L56*D25</f>
        <v>0.88261224489795931</v>
      </c>
      <c r="E56" s="95">
        <f>((C56/16)*9)</f>
        <v>0.9928369565217392</v>
      </c>
      <c r="F56" s="95">
        <f>(((C56/16)*8)+((D56/8)*7))</f>
        <v>1.6548074534161492</v>
      </c>
      <c r="G56" s="95">
        <f>(E56+F56)*184</f>
        <v>487.1665714285715</v>
      </c>
      <c r="H56" s="95">
        <f>((E56+F56)*365)</f>
        <v>966.39020962732934</v>
      </c>
      <c r="J56" s="51" t="s">
        <v>48</v>
      </c>
      <c r="K56" s="51"/>
      <c r="L56" s="59">
        <f>L55/M55*M56</f>
        <v>6.8000000000000007</v>
      </c>
      <c r="M56" s="60">
        <v>0.1</v>
      </c>
    </row>
    <row r="57" spans="1:13" ht="15" x14ac:dyDescent="0.25">
      <c r="A57" s="155" t="s">
        <v>49</v>
      </c>
      <c r="B57" s="156"/>
      <c r="C57" s="96">
        <f>C26*L57</f>
        <v>32.166956521739131</v>
      </c>
      <c r="D57" s="96">
        <f>D26*L57</f>
        <v>10.510163265306121</v>
      </c>
      <c r="E57" s="96">
        <f>(($C$10*L57)/16)*9</f>
        <v>847.15700869565092</v>
      </c>
      <c r="F57" s="93">
        <f>(((C57/16)*8)+((D57/8)*7))</f>
        <v>25.279871118012423</v>
      </c>
      <c r="G57" s="104">
        <f>(((SUM(E57:F57))*157)+(($S$43*24)*27))/100</f>
        <v>1465.9539013074514</v>
      </c>
      <c r="H57" s="104">
        <f>(((SUM(E57:F57))*313)+(($S$43*24)*52))/100</f>
        <v>2916.0554338167658</v>
      </c>
      <c r="J57" s="51" t="s">
        <v>49</v>
      </c>
      <c r="K57" s="51"/>
      <c r="L57" s="59">
        <f>L55/M55*M57</f>
        <v>57.8</v>
      </c>
      <c r="M57" s="60">
        <v>0.85</v>
      </c>
    </row>
    <row r="58" spans="1:13" ht="15" x14ac:dyDescent="0.25">
      <c r="A58"/>
      <c r="B58"/>
      <c r="C58" s="99">
        <f>C27*L57</f>
        <v>1.2565217391304346</v>
      </c>
      <c r="D58" s="99">
        <f>L57*D27</f>
        <v>0.70775510204081626</v>
      </c>
      <c r="E58" s="99">
        <f>(($C$11*L57)/16)*9</f>
        <v>33.092070652173859</v>
      </c>
      <c r="F58" s="95">
        <f>(((C58/16)*8)+((D58/8)*7))</f>
        <v>1.2475465838509314</v>
      </c>
      <c r="G58" s="95">
        <f>(F58+E58)*184</f>
        <v>6318.4895714285622</v>
      </c>
      <c r="H58" s="95">
        <f>((E58+F58)*365)</f>
        <v>12533.960291149049</v>
      </c>
      <c r="J58" s="51" t="s">
        <v>62</v>
      </c>
      <c r="K58" s="51"/>
      <c r="L58" s="59">
        <f>L55/M55*M58</f>
        <v>3.4000000000000004</v>
      </c>
      <c r="M58" s="60">
        <v>0.05</v>
      </c>
    </row>
    <row r="59" spans="1:13" ht="15" x14ac:dyDescent="0.25">
      <c r="A59" s="159" t="s">
        <v>62</v>
      </c>
      <c r="B59" s="170"/>
      <c r="C59" s="105">
        <v>0</v>
      </c>
      <c r="D59" s="105">
        <v>0</v>
      </c>
      <c r="E59" s="105">
        <f>(($C$10*L58)/16)*9</f>
        <v>49.832765217391234</v>
      </c>
      <c r="F59" s="93">
        <v>0</v>
      </c>
      <c r="G59" s="104">
        <f>(E59*131)/100</f>
        <v>65.280922434782511</v>
      </c>
      <c r="H59" s="104">
        <f>(E59*261)/100</f>
        <v>130.06351721739114</v>
      </c>
      <c r="J59" s="51"/>
      <c r="K59" s="51"/>
      <c r="L59" s="51"/>
      <c r="M59" s="51"/>
    </row>
    <row r="60" spans="1:13" ht="15" x14ac:dyDescent="0.25">
      <c r="A60" s="23"/>
      <c r="B60" s="23"/>
      <c r="C60" s="99">
        <v>0</v>
      </c>
      <c r="D60" s="99">
        <v>0</v>
      </c>
      <c r="E60" s="99">
        <f>(($C$11*L58)/16)*9</f>
        <v>1.946592391304345</v>
      </c>
      <c r="F60" s="95">
        <f>((((C60/16)*8)+((D60/8)*7))*L58)</f>
        <v>0</v>
      </c>
      <c r="G60" s="95">
        <f>E60*184</f>
        <v>358.17299999999949</v>
      </c>
      <c r="H60" s="95">
        <f>E60*365</f>
        <v>710.50622282608595</v>
      </c>
    </row>
    <row r="64" spans="1:13" ht="15.75" x14ac:dyDescent="0.25">
      <c r="A64"/>
      <c r="B64"/>
      <c r="C64" s="64"/>
      <c r="D64" s="64"/>
      <c r="E64" s="64"/>
      <c r="F64" s="64"/>
    </row>
    <row r="65" spans="1:15" ht="15" x14ac:dyDescent="0.25">
      <c r="A65"/>
      <c r="B65"/>
      <c r="C65" s="65"/>
      <c r="D65" s="65"/>
      <c r="E65" s="65"/>
      <c r="F65" s="65"/>
    </row>
    <row r="66" spans="1:15" ht="18.75" x14ac:dyDescent="0.3">
      <c r="A66" s="66"/>
      <c r="B66"/>
      <c r="C66" s="67"/>
      <c r="D66" s="67"/>
      <c r="E66" s="67"/>
      <c r="F66" s="109"/>
    </row>
    <row r="68" spans="1:15" ht="18.75" x14ac:dyDescent="0.3">
      <c r="A68" s="66"/>
      <c r="C68" s="69"/>
      <c r="D68" s="69"/>
      <c r="E68" s="69"/>
      <c r="F68" s="110"/>
      <c r="I68" s="107"/>
      <c r="J68" s="107"/>
      <c r="K68" s="107"/>
      <c r="L68" s="107"/>
      <c r="M68" s="107"/>
      <c r="N68" s="107"/>
      <c r="O68" s="107"/>
    </row>
    <row r="69" spans="1:15" x14ac:dyDescent="0.25">
      <c r="I69" s="107"/>
      <c r="J69" s="107"/>
      <c r="K69" s="107"/>
      <c r="L69" s="107"/>
      <c r="M69" s="107"/>
      <c r="N69" s="107"/>
      <c r="O69" s="107"/>
    </row>
    <row r="70" spans="1:15" ht="15" x14ac:dyDescent="0.25">
      <c r="A70" s="72"/>
      <c r="B70" s="72"/>
      <c r="C70" s="72"/>
      <c r="D70" s="72"/>
      <c r="E70" s="72"/>
      <c r="F70" s="72"/>
      <c r="I70" s="107"/>
      <c r="J70" s="107"/>
      <c r="K70" s="107"/>
      <c r="L70" s="107"/>
      <c r="M70" s="107"/>
      <c r="N70" s="107"/>
      <c r="O70" s="107"/>
    </row>
    <row r="71" spans="1:15" ht="12.75" customHeight="1" x14ac:dyDescent="0.25">
      <c r="A71" s="154" t="s">
        <v>63</v>
      </c>
      <c r="B71" s="154"/>
      <c r="C71" s="154"/>
      <c r="D71" s="154"/>
      <c r="E71" s="154"/>
      <c r="F71" s="154"/>
      <c r="I71" s="111"/>
      <c r="J71" s="111"/>
      <c r="K71" s="111"/>
      <c r="L71" s="111"/>
      <c r="M71" s="111"/>
      <c r="N71" s="111"/>
      <c r="O71" s="111"/>
    </row>
    <row r="72" spans="1:15" ht="12.75" customHeight="1" x14ac:dyDescent="0.25">
      <c r="A72" s="154"/>
      <c r="B72" s="154"/>
      <c r="C72" s="154"/>
      <c r="D72" s="154"/>
      <c r="E72" s="154"/>
      <c r="F72" s="154"/>
      <c r="I72" s="107"/>
      <c r="J72" s="107"/>
      <c r="K72" s="107"/>
      <c r="L72" s="107"/>
      <c r="M72" s="107"/>
      <c r="N72" s="107"/>
      <c r="O72" s="107"/>
    </row>
    <row r="73" spans="1:15" ht="12.75" customHeight="1" x14ac:dyDescent="0.25">
      <c r="A73" s="154"/>
      <c r="B73" s="154"/>
      <c r="C73" s="154"/>
      <c r="D73" s="154"/>
      <c r="E73" s="154"/>
      <c r="F73" s="154"/>
      <c r="I73" s="107"/>
      <c r="J73" s="107"/>
      <c r="K73" s="107"/>
      <c r="L73" s="107"/>
      <c r="M73" s="107"/>
      <c r="N73" s="107"/>
      <c r="O73" s="107"/>
    </row>
    <row r="74" spans="1:15" ht="15.75" x14ac:dyDescent="0.25">
      <c r="A74" s="73"/>
      <c r="B74" s="73"/>
      <c r="C74" s="74" t="s">
        <v>5</v>
      </c>
      <c r="D74" s="75" t="s">
        <v>7</v>
      </c>
      <c r="E74" s="74" t="s">
        <v>9</v>
      </c>
      <c r="F74" s="75" t="s">
        <v>64</v>
      </c>
      <c r="I74" s="107"/>
      <c r="J74" s="107"/>
      <c r="K74" s="107"/>
      <c r="L74" s="107"/>
      <c r="M74" s="107"/>
      <c r="N74" s="107"/>
      <c r="O74" s="107"/>
    </row>
    <row r="75" spans="1:15" ht="15" x14ac:dyDescent="0.25">
      <c r="A75" s="73"/>
      <c r="B75" s="73"/>
      <c r="C75" s="76" t="s">
        <v>65</v>
      </c>
      <c r="D75" s="77" t="s">
        <v>66</v>
      </c>
      <c r="E75" s="76" t="s">
        <v>67</v>
      </c>
      <c r="F75" s="77" t="s">
        <v>68</v>
      </c>
      <c r="I75" s="107"/>
      <c r="J75" s="107"/>
      <c r="K75" s="107"/>
      <c r="L75" s="107"/>
      <c r="M75" s="107"/>
      <c r="N75" s="107"/>
      <c r="O75" s="107"/>
    </row>
    <row r="76" spans="1:15" ht="18.75" x14ac:dyDescent="0.3">
      <c r="A76" s="78" t="s">
        <v>69</v>
      </c>
      <c r="B76" s="73"/>
      <c r="C76" s="79">
        <f>(((SUM(F37,F39,F41))*131)+(((S43*8)+(S42*16))*26)+((S43*24)*27))/100</f>
        <v>534.02874557675216</v>
      </c>
      <c r="D76" s="80">
        <f>(((SUM(F46,F48,F50))*131)+(((S43*8)+(S42*16))*26)+((S43*24)*27))/100</f>
        <v>329.03095249068326</v>
      </c>
      <c r="E76" s="79">
        <f>(((SUM(F55,F57,F59))*131)+(((S43*8)+(S42*16))*26)+((S43*24)*27))/100</f>
        <v>311.34854035093167</v>
      </c>
      <c r="F76" s="81">
        <f>SUM(C76:E76)</f>
        <v>1174.4082384183671</v>
      </c>
      <c r="I76" s="107"/>
      <c r="J76" s="107"/>
      <c r="K76" s="107"/>
      <c r="L76" s="107"/>
      <c r="M76" s="107"/>
      <c r="N76" s="107"/>
      <c r="O76" s="107"/>
    </row>
    <row r="77" spans="1:15" ht="15" x14ac:dyDescent="0.25">
      <c r="A77" s="73"/>
      <c r="B77" s="73"/>
      <c r="C77" s="82"/>
      <c r="D77" s="34"/>
      <c r="E77" s="82"/>
      <c r="F77" s="34"/>
      <c r="I77" s="107"/>
      <c r="J77" s="107"/>
      <c r="K77" s="107"/>
      <c r="L77" s="107"/>
      <c r="M77" s="107"/>
      <c r="N77" s="107"/>
      <c r="O77" s="107"/>
    </row>
    <row r="78" spans="1:15" ht="18.75" x14ac:dyDescent="0.3">
      <c r="A78" s="78" t="s">
        <v>70</v>
      </c>
      <c r="B78" s="83"/>
      <c r="C78" s="84">
        <v>5226.05</v>
      </c>
      <c r="D78" s="85">
        <f>((SUM(F47,F49,F51))*131)+((SUM(E47:F47,E49:F49,E51:F51))*53)</f>
        <v>2856.3691746894374</v>
      </c>
      <c r="E78" s="84">
        <f>((SUM(F56,F58,F60))*131)+((SUM(E56:F56,E58:F58,E60:F60))*53)</f>
        <v>2443.7026428571403</v>
      </c>
      <c r="F78" s="86">
        <f>SUM(C78:E78)</f>
        <v>10526.121817546578</v>
      </c>
      <c r="I78" s="107"/>
      <c r="J78" s="107"/>
      <c r="K78" s="107"/>
      <c r="L78" s="107"/>
      <c r="M78" s="107"/>
      <c r="N78" s="107"/>
      <c r="O78" s="107"/>
    </row>
    <row r="79" spans="1:15" ht="15" x14ac:dyDescent="0.25">
      <c r="A79"/>
      <c r="B79"/>
      <c r="C79"/>
      <c r="D79"/>
      <c r="E79"/>
      <c r="F79"/>
      <c r="I79" s="107"/>
      <c r="J79" s="107"/>
      <c r="K79" s="107"/>
      <c r="L79" s="107"/>
      <c r="M79" s="107"/>
      <c r="N79" s="107"/>
      <c r="O79" s="107"/>
    </row>
    <row r="80" spans="1:15" ht="12.75" customHeight="1" x14ac:dyDescent="0.25">
      <c r="A80" s="154" t="s">
        <v>71</v>
      </c>
      <c r="B80" s="154"/>
      <c r="C80" s="154"/>
      <c r="D80" s="154"/>
      <c r="E80" s="154"/>
      <c r="F80" s="154"/>
      <c r="I80" s="107"/>
      <c r="J80" s="107"/>
      <c r="K80" s="107"/>
      <c r="L80" s="107"/>
      <c r="M80" s="107"/>
      <c r="N80" s="107"/>
      <c r="O80" s="107"/>
    </row>
    <row r="81" spans="1:15" ht="12.75" customHeight="1" x14ac:dyDescent="0.25">
      <c r="A81" s="154"/>
      <c r="B81" s="154"/>
      <c r="C81" s="154"/>
      <c r="D81" s="154"/>
      <c r="E81" s="154"/>
      <c r="F81" s="154"/>
      <c r="I81" s="107"/>
      <c r="J81" s="107"/>
      <c r="K81" s="107"/>
      <c r="L81" s="107"/>
      <c r="M81" s="107"/>
      <c r="N81" s="107"/>
      <c r="O81" s="107"/>
    </row>
    <row r="82" spans="1:15" ht="12.75" customHeight="1" x14ac:dyDescent="0.25">
      <c r="A82" s="154"/>
      <c r="B82" s="154"/>
      <c r="C82" s="154"/>
      <c r="D82" s="154"/>
      <c r="E82" s="154"/>
      <c r="F82" s="154"/>
      <c r="I82" s="107"/>
      <c r="J82" s="107"/>
      <c r="K82" s="107"/>
      <c r="L82" s="107"/>
      <c r="M82" s="107"/>
      <c r="N82" s="107"/>
      <c r="O82" s="107"/>
    </row>
    <row r="83" spans="1:15" ht="15.75" x14ac:dyDescent="0.25">
      <c r="A83" s="73"/>
      <c r="B83" s="73"/>
      <c r="C83" s="74" t="s">
        <v>5</v>
      </c>
      <c r="D83" s="75" t="s">
        <v>7</v>
      </c>
      <c r="E83" s="74" t="s">
        <v>9</v>
      </c>
      <c r="F83" s="75" t="s">
        <v>64</v>
      </c>
      <c r="I83" s="107"/>
      <c r="J83" s="107"/>
      <c r="K83" s="107"/>
      <c r="L83" s="107"/>
      <c r="M83" s="107"/>
      <c r="N83" s="107"/>
      <c r="O83" s="107"/>
    </row>
    <row r="84" spans="1:15" ht="15" x14ac:dyDescent="0.25">
      <c r="A84" s="73"/>
      <c r="B84" s="73"/>
      <c r="C84" s="76" t="s">
        <v>65</v>
      </c>
      <c r="D84" s="77" t="s">
        <v>66</v>
      </c>
      <c r="E84" s="76" t="s">
        <v>67</v>
      </c>
      <c r="F84" s="77" t="s">
        <v>68</v>
      </c>
      <c r="I84" s="107"/>
      <c r="J84" s="107"/>
      <c r="K84" s="107"/>
      <c r="L84" s="107"/>
      <c r="M84" s="107"/>
      <c r="N84" s="107"/>
      <c r="O84" s="107"/>
    </row>
    <row r="85" spans="1:15" ht="18.75" x14ac:dyDescent="0.3">
      <c r="A85" s="78" t="s">
        <v>69</v>
      </c>
      <c r="B85" s="73"/>
      <c r="C85" s="79">
        <f>(((SUM(E37:F37,E39:F39,E41:F41))*157)+((24*S43)*27))/100</f>
        <v>2895.4367336069176</v>
      </c>
      <c r="D85" s="80">
        <f>(((SUM(E46:F46,E48:F48,E50:F50))*157)+((24*S43)*27))/100</f>
        <v>1882.3876878074514</v>
      </c>
      <c r="E85" s="79">
        <f>(((SUM(E55:F55,E57:F57,E59:F59))*157)+((24*S43)*27))/100</f>
        <v>1637.5712146801222</v>
      </c>
      <c r="F85" s="81">
        <f>SUM(C85:E85)</f>
        <v>6415.3956360944912</v>
      </c>
      <c r="I85" s="107"/>
      <c r="J85" s="107"/>
      <c r="K85" s="107"/>
      <c r="L85" s="107"/>
      <c r="M85" s="107"/>
      <c r="N85" s="107"/>
      <c r="O85" s="107"/>
    </row>
    <row r="86" spans="1:15" ht="15" x14ac:dyDescent="0.25">
      <c r="A86" s="73"/>
      <c r="B86" s="73"/>
      <c r="C86" s="89"/>
      <c r="D86" s="90"/>
      <c r="E86" s="89"/>
      <c r="F86" s="34"/>
      <c r="I86" s="107"/>
      <c r="J86" s="107"/>
      <c r="K86" s="107"/>
      <c r="L86" s="107"/>
      <c r="M86" s="107"/>
      <c r="N86" s="107"/>
      <c r="O86" s="107"/>
    </row>
    <row r="87" spans="1:15" ht="18.75" x14ac:dyDescent="0.3">
      <c r="A87" s="78" t="s">
        <v>70</v>
      </c>
      <c r="B87" s="83"/>
      <c r="C87" s="91">
        <v>13176.16</v>
      </c>
      <c r="D87" s="92">
        <f>SUM(E47:F47,E49:F49,E51:F51)*184</f>
        <v>8305.3675714285582</v>
      </c>
      <c r="E87" s="91">
        <f>SUM(E56:F56,E58:F58,E60:F60)*184</f>
        <v>7163.8291428571329</v>
      </c>
      <c r="F87" s="86">
        <f>SUM(C87:E87)</f>
        <v>28645.356714285692</v>
      </c>
      <c r="I87" s="107"/>
      <c r="J87" s="107"/>
      <c r="K87" s="107"/>
      <c r="L87" s="107"/>
      <c r="M87" s="107"/>
      <c r="N87" s="107"/>
      <c r="O87" s="107"/>
    </row>
    <row r="88" spans="1:15" ht="15" x14ac:dyDescent="0.25">
      <c r="A88"/>
      <c r="B88"/>
      <c r="C88"/>
      <c r="D88"/>
      <c r="E88"/>
      <c r="F88"/>
      <c r="I88" s="107"/>
      <c r="J88" s="107"/>
      <c r="K88" s="107"/>
      <c r="L88" s="107"/>
      <c r="M88" s="107"/>
      <c r="N88" s="107"/>
      <c r="O88" s="107"/>
    </row>
    <row r="89" spans="1:15" ht="12.75" customHeight="1" x14ac:dyDescent="0.25">
      <c r="A89" s="154" t="s">
        <v>72</v>
      </c>
      <c r="B89" s="154"/>
      <c r="C89" s="154"/>
      <c r="D89" s="154"/>
      <c r="E89" s="154"/>
      <c r="F89" s="154"/>
      <c r="I89" s="107"/>
      <c r="J89" s="107"/>
      <c r="K89" s="107"/>
      <c r="L89" s="107"/>
      <c r="M89" s="107"/>
      <c r="N89" s="107"/>
      <c r="O89" s="107"/>
    </row>
    <row r="90" spans="1:15" ht="12.75" customHeight="1" x14ac:dyDescent="0.25">
      <c r="A90" s="154"/>
      <c r="B90" s="154"/>
      <c r="C90" s="154"/>
      <c r="D90" s="154"/>
      <c r="E90" s="154"/>
      <c r="F90" s="154"/>
      <c r="I90" s="107"/>
      <c r="J90" s="107"/>
      <c r="K90" s="107"/>
      <c r="L90" s="107"/>
      <c r="M90" s="107"/>
      <c r="N90" s="107"/>
      <c r="O90" s="107"/>
    </row>
    <row r="91" spans="1:15" ht="12.75" customHeight="1" x14ac:dyDescent="0.25">
      <c r="A91" s="154"/>
      <c r="B91" s="154"/>
      <c r="C91" s="154"/>
      <c r="D91" s="154"/>
      <c r="E91" s="154"/>
      <c r="F91" s="154"/>
      <c r="I91" s="112"/>
      <c r="J91" s="112"/>
      <c r="K91" s="112"/>
      <c r="L91" s="112"/>
      <c r="M91" s="112"/>
      <c r="N91" s="112"/>
      <c r="O91" s="112"/>
    </row>
    <row r="92" spans="1:15" ht="15.75" x14ac:dyDescent="0.25">
      <c r="A92" s="73"/>
      <c r="B92" s="73"/>
      <c r="C92" s="74" t="s">
        <v>5</v>
      </c>
      <c r="D92" s="75" t="s">
        <v>7</v>
      </c>
      <c r="E92" s="74" t="s">
        <v>9</v>
      </c>
      <c r="F92" s="75" t="s">
        <v>64</v>
      </c>
    </row>
    <row r="93" spans="1:15" ht="15" x14ac:dyDescent="0.25">
      <c r="A93" s="73"/>
      <c r="B93" s="73"/>
      <c r="C93" s="76" t="s">
        <v>65</v>
      </c>
      <c r="D93" s="77" t="s">
        <v>66</v>
      </c>
      <c r="E93" s="76" t="s">
        <v>67</v>
      </c>
      <c r="F93" s="77" t="s">
        <v>68</v>
      </c>
    </row>
    <row r="94" spans="1:15" ht="18.75" x14ac:dyDescent="0.3">
      <c r="A94" s="78" t="s">
        <v>69</v>
      </c>
      <c r="B94" s="73"/>
      <c r="C94" s="87">
        <f>C85-C76</f>
        <v>2361.4079880301656</v>
      </c>
      <c r="D94" s="88">
        <f t="shared" ref="D94:E94" si="0">D85-D76</f>
        <v>1553.3567353167682</v>
      </c>
      <c r="E94" s="87">
        <f t="shared" si="0"/>
        <v>1326.2226743291906</v>
      </c>
      <c r="F94" s="81">
        <f>SUM(C94:E94)</f>
        <v>5240.9873976761246</v>
      </c>
    </row>
    <row r="95" spans="1:15" ht="15" x14ac:dyDescent="0.25">
      <c r="A95" s="73"/>
      <c r="B95" s="73"/>
      <c r="C95" s="89"/>
      <c r="D95" s="90"/>
      <c r="E95" s="89"/>
      <c r="F95" s="34"/>
    </row>
    <row r="96" spans="1:15" ht="18.75" x14ac:dyDescent="0.3">
      <c r="A96" s="78" t="s">
        <v>70</v>
      </c>
      <c r="B96" s="83"/>
      <c r="C96" s="91">
        <f>C87-C78</f>
        <v>7950.11</v>
      </c>
      <c r="D96" s="92">
        <f t="shared" ref="D96:E96" si="1">D87-D78</f>
        <v>5448.9983967391208</v>
      </c>
      <c r="E96" s="91">
        <f t="shared" si="1"/>
        <v>4720.126499999993</v>
      </c>
      <c r="F96" s="86">
        <f>SUM(C96:E96)</f>
        <v>18119.234896739115</v>
      </c>
    </row>
    <row r="97" spans="1:7" ht="15" x14ac:dyDescent="0.25">
      <c r="A97" s="72"/>
      <c r="B97" s="72"/>
      <c r="C97" s="72"/>
      <c r="D97" s="72"/>
      <c r="E97" s="72"/>
      <c r="F97" s="72"/>
    </row>
    <row r="98" spans="1:7" ht="12.75" customHeight="1" x14ac:dyDescent="0.25">
      <c r="A98" s="154" t="s">
        <v>73</v>
      </c>
      <c r="B98" s="154"/>
      <c r="C98" s="154"/>
      <c r="D98" s="154"/>
      <c r="E98" s="154"/>
      <c r="F98" s="154"/>
    </row>
    <row r="99" spans="1:7" ht="12.75" customHeight="1" x14ac:dyDescent="0.25">
      <c r="A99" s="154"/>
      <c r="B99" s="154"/>
      <c r="C99" s="154"/>
      <c r="D99" s="154"/>
      <c r="E99" s="154"/>
      <c r="F99" s="154"/>
      <c r="G99" s="113" t="s">
        <v>72</v>
      </c>
    </row>
    <row r="100" spans="1:7" ht="12.75" customHeight="1" x14ac:dyDescent="0.25">
      <c r="A100" s="154"/>
      <c r="B100" s="154"/>
      <c r="C100" s="154"/>
      <c r="D100" s="154"/>
      <c r="E100" s="154"/>
      <c r="F100" s="154"/>
      <c r="G100" s="113" t="s">
        <v>74</v>
      </c>
    </row>
    <row r="101" spans="1:7" ht="15.75" x14ac:dyDescent="0.25">
      <c r="A101" s="73"/>
      <c r="B101" s="73"/>
      <c r="C101" s="74" t="s">
        <v>5</v>
      </c>
      <c r="D101" s="75" t="s">
        <v>7</v>
      </c>
      <c r="E101" s="74" t="s">
        <v>9</v>
      </c>
      <c r="F101" s="75" t="s">
        <v>64</v>
      </c>
    </row>
    <row r="102" spans="1:7" ht="15" x14ac:dyDescent="0.25">
      <c r="A102" s="73"/>
      <c r="B102" s="73"/>
      <c r="C102" s="76" t="s">
        <v>65</v>
      </c>
      <c r="D102" s="77" t="s">
        <v>66</v>
      </c>
      <c r="E102" s="76" t="s">
        <v>67</v>
      </c>
      <c r="F102" s="77" t="s">
        <v>68</v>
      </c>
    </row>
    <row r="103" spans="1:7" ht="18.75" x14ac:dyDescent="0.3">
      <c r="A103" s="78" t="s">
        <v>69</v>
      </c>
      <c r="B103" s="73"/>
      <c r="C103" s="79">
        <f>(((SUM(F37,F39,F41))*261)+((($S$43*8)+($S$42*16))*52)+(($S$43*24)*52))/100</f>
        <v>1058.6362335536819</v>
      </c>
      <c r="D103" s="80">
        <f>(((SUM(F46,F48,F50))*261)+((($S$43*8)+($S$42*16))*52)+(($S$43*24)*52))/100</f>
        <v>650.20551603105594</v>
      </c>
      <c r="E103" s="79">
        <f>(((SUM(F55,F57,F59))*261)+((($S$43*8)+($S$42*16))*52)+(($S$43*24)*52))/100</f>
        <v>614.97567199689433</v>
      </c>
      <c r="F103" s="81">
        <f>SUM(C103:E103)</f>
        <v>2323.8174215816325</v>
      </c>
    </row>
    <row r="104" spans="1:7" ht="15" x14ac:dyDescent="0.25">
      <c r="A104" s="73"/>
      <c r="B104" s="73"/>
      <c r="C104" s="82"/>
      <c r="D104" s="34"/>
      <c r="E104" s="82"/>
      <c r="F104" s="34"/>
    </row>
    <row r="105" spans="1:7" ht="18.75" x14ac:dyDescent="0.3">
      <c r="A105" s="78" t="s">
        <v>70</v>
      </c>
      <c r="B105" s="83"/>
      <c r="C105" s="84">
        <v>10297.950000000001</v>
      </c>
      <c r="D105" s="85">
        <f>((SUM(F47,F49,F51))*261)+((SUM(E47:F47,E49:F49,E51:F51))*104)</f>
        <v>5618.9201552794957</v>
      </c>
      <c r="E105" s="84">
        <f>((SUM(F56,F58,F60))*261)+((SUM(E56:F56,E58:F58,E60:F60))*104)</f>
        <v>4806.6352236024786</v>
      </c>
      <c r="F105" s="86">
        <f>SUM(C105:E105)</f>
        <v>20723.505378881975</v>
      </c>
    </row>
    <row r="106" spans="1:7" ht="15" x14ac:dyDescent="0.25">
      <c r="A106"/>
      <c r="B106"/>
      <c r="C106"/>
      <c r="D106"/>
      <c r="E106"/>
      <c r="F106"/>
    </row>
    <row r="107" spans="1:7" ht="12.75" customHeight="1" x14ac:dyDescent="0.25">
      <c r="A107" s="154" t="s">
        <v>75</v>
      </c>
      <c r="B107" s="154"/>
      <c r="C107" s="154"/>
      <c r="D107" s="154"/>
      <c r="E107" s="154"/>
      <c r="F107" s="154"/>
    </row>
    <row r="108" spans="1:7" ht="12.75" customHeight="1" x14ac:dyDescent="0.25">
      <c r="A108" s="154"/>
      <c r="B108" s="154"/>
      <c r="C108" s="154"/>
      <c r="D108" s="154"/>
      <c r="E108" s="154"/>
      <c r="F108" s="154"/>
    </row>
    <row r="109" spans="1:7" ht="12.75" customHeight="1" x14ac:dyDescent="0.25">
      <c r="A109" s="154"/>
      <c r="B109" s="154"/>
      <c r="C109" s="154"/>
      <c r="D109" s="154"/>
      <c r="E109" s="154"/>
      <c r="F109" s="154"/>
    </row>
    <row r="110" spans="1:7" ht="15.75" x14ac:dyDescent="0.25">
      <c r="A110" s="73"/>
      <c r="B110" s="73"/>
      <c r="C110" s="74" t="s">
        <v>5</v>
      </c>
      <c r="D110" s="75" t="s">
        <v>7</v>
      </c>
      <c r="E110" s="74" t="s">
        <v>9</v>
      </c>
      <c r="F110" s="75" t="s">
        <v>64</v>
      </c>
    </row>
    <row r="111" spans="1:7" ht="15" x14ac:dyDescent="0.25">
      <c r="A111" s="73"/>
      <c r="B111" s="73"/>
      <c r="C111" s="76" t="s">
        <v>65</v>
      </c>
      <c r="D111" s="77" t="s">
        <v>66</v>
      </c>
      <c r="E111" s="76" t="s">
        <v>67</v>
      </c>
      <c r="F111" s="77" t="s">
        <v>68</v>
      </c>
    </row>
    <row r="112" spans="1:7" ht="18.75" x14ac:dyDescent="0.3">
      <c r="A112" s="78" t="s">
        <v>69</v>
      </c>
      <c r="B112" s="73"/>
      <c r="C112" s="79">
        <f>(((SUM(E37:F37,E39:F39,E41:F41))*313)+((24*$S$43)*52))/100</f>
        <v>5765.9161122227088</v>
      </c>
      <c r="D112" s="80">
        <f>(((SUM(E46:F46,E48:F48,E50:F50))*313)+((24*$S$43)*52))/100</f>
        <v>3746.2705623167658</v>
      </c>
      <c r="E112" s="79">
        <f>(((SUM(E55:F55,E57:F57,E59:F59))*313)+((24*$S$43)*52))/100</f>
        <v>3258.1969566552752</v>
      </c>
      <c r="F112" s="81">
        <f>SUM(C112:E112)</f>
        <v>12770.383631194749</v>
      </c>
    </row>
    <row r="113" spans="1:6" ht="15" x14ac:dyDescent="0.25">
      <c r="A113" s="73"/>
      <c r="B113" s="73"/>
      <c r="C113" s="82"/>
      <c r="D113" s="34"/>
      <c r="E113" s="79"/>
      <c r="F113" s="34"/>
    </row>
    <row r="114" spans="1:6" ht="18.75" x14ac:dyDescent="0.3">
      <c r="A114" s="78" t="s">
        <v>70</v>
      </c>
      <c r="B114" s="83"/>
      <c r="C114" s="84">
        <v>26137.4</v>
      </c>
      <c r="D114" s="85">
        <f>SUM(E47:F47,E49:F49,E51:F51)*365</f>
        <v>16475.321541149042</v>
      </c>
      <c r="E114" s="84">
        <f>SUM(E56:F56,E58:F58,E60:F60)*365</f>
        <v>14210.856723602465</v>
      </c>
      <c r="F114" s="86">
        <f>SUM(C114:E114)</f>
        <v>56823.578264751515</v>
      </c>
    </row>
    <row r="115" spans="1:6" ht="15" x14ac:dyDescent="0.25">
      <c r="A115"/>
      <c r="B115"/>
      <c r="C115"/>
      <c r="D115"/>
      <c r="E115"/>
      <c r="F115"/>
    </row>
    <row r="116" spans="1:6" ht="12.75" customHeight="1" x14ac:dyDescent="0.25">
      <c r="A116" s="154" t="s">
        <v>72</v>
      </c>
      <c r="B116" s="154"/>
      <c r="C116" s="154"/>
      <c r="D116" s="154"/>
      <c r="E116" s="154"/>
      <c r="F116" s="154"/>
    </row>
    <row r="117" spans="1:6" ht="12.75" customHeight="1" x14ac:dyDescent="0.25">
      <c r="A117" s="154"/>
      <c r="B117" s="154"/>
      <c r="C117" s="154"/>
      <c r="D117" s="154"/>
      <c r="E117" s="154"/>
      <c r="F117" s="154"/>
    </row>
    <row r="118" spans="1:6" ht="12.75" customHeight="1" x14ac:dyDescent="0.25">
      <c r="A118" s="154"/>
      <c r="B118" s="154"/>
      <c r="C118" s="154"/>
      <c r="D118" s="154"/>
      <c r="E118" s="154"/>
      <c r="F118" s="154"/>
    </row>
    <row r="119" spans="1:6" ht="15.75" x14ac:dyDescent="0.25">
      <c r="A119" s="73"/>
      <c r="B119" s="73"/>
      <c r="C119" s="74" t="s">
        <v>5</v>
      </c>
      <c r="D119" s="75" t="s">
        <v>7</v>
      </c>
      <c r="E119" s="74" t="s">
        <v>9</v>
      </c>
      <c r="F119" s="75" t="s">
        <v>64</v>
      </c>
    </row>
    <row r="120" spans="1:6" ht="15" x14ac:dyDescent="0.25">
      <c r="A120" s="73"/>
      <c r="B120" s="73"/>
      <c r="C120" s="76" t="s">
        <v>65</v>
      </c>
      <c r="D120" s="77" t="s">
        <v>66</v>
      </c>
      <c r="E120" s="76" t="s">
        <v>67</v>
      </c>
      <c r="F120" s="77" t="s">
        <v>68</v>
      </c>
    </row>
    <row r="121" spans="1:6" ht="18.75" x14ac:dyDescent="0.3">
      <c r="A121" s="78" t="s">
        <v>69</v>
      </c>
      <c r="B121" s="73"/>
      <c r="C121" s="87">
        <f>C112-C103</f>
        <v>4707.2798786690273</v>
      </c>
      <c r="D121" s="88">
        <f t="shared" ref="D121:E121" si="2">D112-D103</f>
        <v>3096.0650462857097</v>
      </c>
      <c r="E121" s="87">
        <f t="shared" si="2"/>
        <v>2643.2212846583807</v>
      </c>
      <c r="F121" s="81">
        <f>SUM(C121:E121)</f>
        <v>10446.566209613118</v>
      </c>
    </row>
    <row r="122" spans="1:6" ht="15" x14ac:dyDescent="0.25">
      <c r="A122" s="73"/>
      <c r="B122" s="73"/>
      <c r="C122" s="89"/>
      <c r="D122" s="90"/>
      <c r="E122" s="89"/>
      <c r="F122" s="34"/>
    </row>
    <row r="123" spans="1:6" ht="18.75" x14ac:dyDescent="0.3">
      <c r="A123" s="78" t="s">
        <v>70</v>
      </c>
      <c r="B123" s="83"/>
      <c r="C123" s="91">
        <v>15839.54</v>
      </c>
      <c r="D123" s="92">
        <f t="shared" ref="D123:E123" si="3">D114-D105</f>
        <v>10856.401385869547</v>
      </c>
      <c r="E123" s="91">
        <f t="shared" si="3"/>
        <v>9404.2214999999851</v>
      </c>
      <c r="F123" s="86">
        <f>SUM(C123:E123)</f>
        <v>36100.162885869533</v>
      </c>
    </row>
  </sheetData>
  <mergeCells count="36">
    <mergeCell ref="A17:B17"/>
    <mergeCell ref="A1:H4"/>
    <mergeCell ref="A8:B9"/>
    <mergeCell ref="A10:B10"/>
    <mergeCell ref="A12:B12"/>
    <mergeCell ref="A15:B16"/>
    <mergeCell ref="P39:R39"/>
    <mergeCell ref="A41:B41"/>
    <mergeCell ref="A18:B18"/>
    <mergeCell ref="A19:B19"/>
    <mergeCell ref="L19:O19"/>
    <mergeCell ref="A22:B23"/>
    <mergeCell ref="A24:B24"/>
    <mergeCell ref="A25:B25"/>
    <mergeCell ref="A48:B48"/>
    <mergeCell ref="A26:B26"/>
    <mergeCell ref="A35:B36"/>
    <mergeCell ref="A37:B37"/>
    <mergeCell ref="A39:B39"/>
    <mergeCell ref="A44:B45"/>
    <mergeCell ref="P45:S45"/>
    <mergeCell ref="A46:B46"/>
    <mergeCell ref="P46:S46"/>
    <mergeCell ref="A47:B47"/>
    <mergeCell ref="A116:F118"/>
    <mergeCell ref="A50:B50"/>
    <mergeCell ref="A53:B54"/>
    <mergeCell ref="A55:B55"/>
    <mergeCell ref="A56:B56"/>
    <mergeCell ref="A57:B57"/>
    <mergeCell ref="A59:B59"/>
    <mergeCell ref="A71:F73"/>
    <mergeCell ref="A80:F82"/>
    <mergeCell ref="A89:F91"/>
    <mergeCell ref="A98:F100"/>
    <mergeCell ref="A107:F109"/>
  </mergeCells>
  <pageMargins left="0.98425196850393704" right="0.94488188976377963" top="1.1811023622047245" bottom="0.78740157480314965" header="0.59055118110236227" footer="0.39370078740157483"/>
  <pageSetup paperSize="9" orientation="portrait" r:id="rId1"/>
  <headerFooter scaleWithDoc="0">
    <oddHeader>&amp;L&amp;K03+000 &amp;C&amp;K03+000  &amp;R&amp;K03+000&amp;P / &amp;N</oddHeader>
    <oddFooter>&amp;L&amp;8&amp;K03+000 &amp;C&amp;8&amp;K03+000 &amp;R&amp;8&amp;K03+000&amp;D
&amp;F /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S123"/>
  <sheetViews>
    <sheetView topLeftCell="B19" zoomScale="90" zoomScaleNormal="90" workbookViewId="0">
      <selection activeCell="A37" sqref="A37:B37"/>
    </sheetView>
  </sheetViews>
  <sheetFormatPr baseColWidth="10" defaultColWidth="10.7109375" defaultRowHeight="12.75" x14ac:dyDescent="0.25"/>
  <cols>
    <col min="1" max="1" width="23" style="55" customWidth="1"/>
    <col min="2" max="2" width="11.28515625" style="55" customWidth="1"/>
    <col min="3" max="3" width="32.85546875" style="55" customWidth="1"/>
    <col min="4" max="4" width="33.7109375" style="55" customWidth="1"/>
    <col min="5" max="5" width="31.140625" style="55" customWidth="1"/>
    <col min="6" max="6" width="33.140625" style="55" customWidth="1"/>
    <col min="7" max="8" width="30.42578125" style="55" customWidth="1"/>
    <col min="9" max="9" width="10.7109375" style="55" customWidth="1"/>
    <col min="10" max="11" width="10.7109375" style="55"/>
    <col min="12" max="12" width="13.42578125" style="55" bestFit="1" customWidth="1"/>
    <col min="13" max="13" width="14.7109375" style="55" bestFit="1" customWidth="1"/>
    <col min="14" max="14" width="10.7109375" style="55"/>
    <col min="15" max="15" width="13.7109375" style="55" bestFit="1" customWidth="1"/>
    <col min="16" max="18" width="10.7109375" style="55"/>
    <col min="19" max="19" width="14.7109375" style="55" bestFit="1" customWidth="1"/>
    <col min="20" max="16384" width="10.7109375" style="55"/>
  </cols>
  <sheetData>
    <row r="1" spans="1:15" ht="12.75" customHeight="1" x14ac:dyDescent="0.25">
      <c r="A1" s="167" t="s">
        <v>80</v>
      </c>
      <c r="B1" s="167"/>
      <c r="C1" s="167"/>
      <c r="D1" s="167"/>
      <c r="E1" s="167"/>
      <c r="F1" s="167"/>
      <c r="G1" s="167"/>
      <c r="H1" s="167"/>
    </row>
    <row r="2" spans="1:15" ht="12.75" customHeight="1" x14ac:dyDescent="0.25">
      <c r="A2" s="167"/>
      <c r="B2" s="167"/>
      <c r="C2" s="167"/>
      <c r="D2" s="167"/>
      <c r="E2" s="167"/>
      <c r="F2" s="167"/>
      <c r="G2" s="167"/>
      <c r="H2" s="167"/>
    </row>
    <row r="3" spans="1:15" ht="12.75" customHeight="1" x14ac:dyDescent="0.25">
      <c r="A3" s="167"/>
      <c r="B3" s="167"/>
      <c r="C3" s="167"/>
      <c r="D3" s="167"/>
      <c r="E3" s="167"/>
      <c r="F3" s="167"/>
      <c r="G3" s="167"/>
      <c r="H3" s="167"/>
    </row>
    <row r="4" spans="1:15" ht="12.75" customHeight="1" x14ac:dyDescent="0.25">
      <c r="A4" s="167"/>
      <c r="B4" s="167"/>
      <c r="C4" s="167"/>
      <c r="D4" s="167"/>
      <c r="E4" s="167"/>
      <c r="F4" s="167"/>
      <c r="G4" s="167"/>
      <c r="H4" s="167"/>
    </row>
    <row r="5" spans="1:15" ht="15" x14ac:dyDescent="0.25">
      <c r="A5"/>
      <c r="B5"/>
      <c r="C5"/>
      <c r="D5"/>
      <c r="E5"/>
      <c r="F5"/>
    </row>
    <row r="6" spans="1:15" ht="15" x14ac:dyDescent="0.25">
      <c r="A6"/>
      <c r="B6"/>
      <c r="C6"/>
      <c r="D6"/>
      <c r="E6"/>
      <c r="F6"/>
    </row>
    <row r="7" spans="1:15" ht="15" x14ac:dyDescent="0.25">
      <c r="A7" s="17"/>
      <c r="B7" s="17"/>
      <c r="C7"/>
      <c r="D7"/>
      <c r="E7"/>
      <c r="F7"/>
    </row>
    <row r="8" spans="1:15" ht="21" customHeight="1" x14ac:dyDescent="0.25">
      <c r="A8" s="161" t="s">
        <v>5</v>
      </c>
      <c r="B8" s="162"/>
      <c r="C8" s="18" t="s">
        <v>42</v>
      </c>
      <c r="D8" s="18" t="s">
        <v>43</v>
      </c>
      <c r="E8" s="18" t="s">
        <v>44</v>
      </c>
      <c r="F8" s="18" t="s">
        <v>45</v>
      </c>
      <c r="G8" s="18" t="s">
        <v>46</v>
      </c>
      <c r="H8" s="18" t="s">
        <v>47</v>
      </c>
      <c r="I8"/>
      <c r="J8"/>
      <c r="K8"/>
      <c r="L8"/>
      <c r="M8"/>
    </row>
    <row r="9" spans="1:15" ht="13.5" customHeight="1" x14ac:dyDescent="0.25">
      <c r="A9" s="163"/>
      <c r="B9" s="164"/>
      <c r="C9" s="19"/>
      <c r="D9" s="19"/>
      <c r="E9" s="19"/>
      <c r="F9" s="20"/>
      <c r="G9" s="20"/>
      <c r="H9" s="20"/>
      <c r="I9"/>
      <c r="J9"/>
      <c r="K9"/>
      <c r="L9"/>
      <c r="M9"/>
    </row>
    <row r="10" spans="1:15" ht="15" x14ac:dyDescent="0.25">
      <c r="A10" s="155" t="s">
        <v>48</v>
      </c>
      <c r="B10" s="156"/>
      <c r="C10" s="114">
        <f>C11*O15</f>
        <v>11.60321739130433</v>
      </c>
      <c r="D10" s="114">
        <f>D11*O16</f>
        <v>3.5657142857142858</v>
      </c>
      <c r="E10" s="114">
        <f>E11*O15</f>
        <v>6.5268097826086953</v>
      </c>
      <c r="F10" s="114">
        <f>((C10/16)*8)+((D10/8)*7)</f>
        <v>8.9216086956521643</v>
      </c>
      <c r="G10" s="114">
        <f>(E10+F10)*184</f>
        <v>2842.5089999999982</v>
      </c>
      <c r="H10" s="115">
        <f>((E10+F10)*365)/100</f>
        <v>56.386727445652134</v>
      </c>
      <c r="I10"/>
      <c r="J10"/>
      <c r="K10"/>
      <c r="L10"/>
      <c r="M10"/>
    </row>
    <row r="11" spans="1:15" customFormat="1" ht="15" x14ac:dyDescent="0.25">
      <c r="A11" s="23"/>
      <c r="B11" s="23"/>
      <c r="C11" s="116">
        <v>1.0178260869565201</v>
      </c>
      <c r="D11" s="116">
        <v>0.50938775510204082</v>
      </c>
      <c r="E11" s="116">
        <v>0.57252717391304342</v>
      </c>
      <c r="F11" s="116">
        <v>0.95462732919254656</v>
      </c>
      <c r="G11" s="116">
        <f>(E11+F11)*184</f>
        <v>280.99642857142857</v>
      </c>
      <c r="H11" s="116">
        <f>(E11+F11)*365</f>
        <v>557.41139363354034</v>
      </c>
    </row>
    <row r="12" spans="1:15" ht="15" x14ac:dyDescent="0.25">
      <c r="A12" s="155" t="s">
        <v>49</v>
      </c>
      <c r="B12" s="156"/>
      <c r="C12" s="117">
        <f>C13*O15</f>
        <v>0.10236734693877551</v>
      </c>
      <c r="D12" s="117">
        <f>D13*O16</f>
        <v>1.714285714285714E-2</v>
      </c>
      <c r="E12" s="117">
        <f>E13*O15</f>
        <v>5.7581632653061224E-2</v>
      </c>
      <c r="F12" s="114">
        <f>((C12/16)*8)+((D12/8)*7)</f>
        <v>6.6183673469387749E-2</v>
      </c>
      <c r="G12" s="114">
        <f>(E12+F12)*184</f>
        <v>22.772816326530609</v>
      </c>
      <c r="H12" s="115">
        <f>((E12+F12)*365)/100</f>
        <v>0.45174336734693876</v>
      </c>
      <c r="I12"/>
      <c r="L12" s="97" t="s">
        <v>50</v>
      </c>
      <c r="M12" s="98"/>
      <c r="N12" s="98"/>
      <c r="O12" s="28" t="s">
        <v>51</v>
      </c>
    </row>
    <row r="13" spans="1:15" ht="15" x14ac:dyDescent="0.25">
      <c r="A13" s="23"/>
      <c r="B13" s="23"/>
      <c r="C13" s="118">
        <v>8.979591836734694E-3</v>
      </c>
      <c r="D13" s="118">
        <v>2.4489795918367346E-3</v>
      </c>
      <c r="E13" s="118">
        <v>5.0510204081632652E-3</v>
      </c>
      <c r="F13" s="116">
        <v>6.6326530612244895E-3</v>
      </c>
      <c r="G13" s="116">
        <f>(E13+F13)*184</f>
        <v>2.1497959183673467</v>
      </c>
      <c r="H13" s="116">
        <f>(E13+F13)*365</f>
        <v>4.2645408163265301</v>
      </c>
      <c r="I13"/>
      <c r="L13" s="100" t="s">
        <v>81</v>
      </c>
      <c r="M13" s="101"/>
      <c r="N13" s="101"/>
      <c r="O13" s="119"/>
    </row>
    <row r="14" spans="1:15" ht="15" x14ac:dyDescent="0.25">
      <c r="A14"/>
      <c r="B14"/>
      <c r="C14"/>
      <c r="D14"/>
      <c r="E14"/>
      <c r="F14"/>
      <c r="G14"/>
      <c r="H14"/>
      <c r="I14"/>
      <c r="L14" s="31" t="s">
        <v>52</v>
      </c>
      <c r="M14" s="32"/>
      <c r="N14" s="32"/>
      <c r="O14" s="33"/>
    </row>
    <row r="15" spans="1:15" ht="21" customHeight="1" x14ac:dyDescent="0.25">
      <c r="A15" s="161" t="s">
        <v>7</v>
      </c>
      <c r="B15" s="162"/>
      <c r="C15" s="18" t="s">
        <v>42</v>
      </c>
      <c r="D15" s="18" t="s">
        <v>43</v>
      </c>
      <c r="E15" s="18" t="s">
        <v>44</v>
      </c>
      <c r="F15" s="18" t="s">
        <v>45</v>
      </c>
      <c r="G15" s="18" t="s">
        <v>46</v>
      </c>
      <c r="H15" s="18" t="s">
        <v>47</v>
      </c>
      <c r="I15"/>
      <c r="J15" s="1"/>
      <c r="K15" s="1"/>
      <c r="L15" s="31" t="s">
        <v>53</v>
      </c>
      <c r="M15" s="32"/>
      <c r="N15" s="120"/>
      <c r="O15" s="35">
        <v>11.4</v>
      </c>
    </row>
    <row r="16" spans="1:15" ht="13.5" customHeight="1" x14ac:dyDescent="0.25">
      <c r="A16" s="163"/>
      <c r="B16" s="164"/>
      <c r="C16" s="19"/>
      <c r="D16" s="19"/>
      <c r="E16" s="19"/>
      <c r="F16" s="20"/>
      <c r="G16" s="20"/>
      <c r="H16" s="20"/>
      <c r="I16"/>
      <c r="L16" s="31" t="s">
        <v>54</v>
      </c>
      <c r="M16" s="32"/>
      <c r="N16" s="120"/>
      <c r="O16" s="35">
        <v>7</v>
      </c>
    </row>
    <row r="17" spans="1:15" ht="15" x14ac:dyDescent="0.25">
      <c r="A17" s="155" t="s">
        <v>48</v>
      </c>
      <c r="B17" s="156"/>
      <c r="C17" s="114">
        <f>C18*O15</f>
        <v>3.6480000000000001</v>
      </c>
      <c r="D17" s="114">
        <f>D18*O16</f>
        <v>1.1200000000000001</v>
      </c>
      <c r="E17" s="114">
        <f>E18*O15</f>
        <v>2.052</v>
      </c>
      <c r="F17" s="114">
        <f>((C17/16)*8)+((D17/8)*7)</f>
        <v>2.8040000000000003</v>
      </c>
      <c r="G17" s="114">
        <f>(E17+F17)*184</f>
        <v>893.50400000000002</v>
      </c>
      <c r="H17" s="115">
        <f>((E17+F17)*365)/100</f>
        <v>17.724399999999999</v>
      </c>
      <c r="I17"/>
      <c r="L17" s="36"/>
      <c r="M17" s="37"/>
      <c r="N17" s="37"/>
      <c r="O17" s="121"/>
    </row>
    <row r="18" spans="1:15" ht="15" x14ac:dyDescent="0.25">
      <c r="A18" s="157"/>
      <c r="B18" s="158"/>
      <c r="C18" s="116">
        <v>0.32</v>
      </c>
      <c r="D18" s="116">
        <v>0.16</v>
      </c>
      <c r="E18" s="116">
        <v>0.18</v>
      </c>
      <c r="F18" s="116">
        <v>0.30000000000000004</v>
      </c>
      <c r="G18" s="116">
        <f>(E18+F18)*184</f>
        <v>88.320000000000007</v>
      </c>
      <c r="H18" s="116">
        <f>(E18+F18)*365</f>
        <v>175.20000000000002</v>
      </c>
      <c r="I18"/>
      <c r="L18" t="s">
        <v>82</v>
      </c>
      <c r="M18" s="122"/>
    </row>
    <row r="19" spans="1:15" ht="15" x14ac:dyDescent="0.25">
      <c r="A19" s="155" t="s">
        <v>49</v>
      </c>
      <c r="B19" s="156"/>
      <c r="C19" s="117">
        <f>C20*O15</f>
        <v>0.21808695652173912</v>
      </c>
      <c r="D19" s="117">
        <f>D20*O16</f>
        <v>6.8571428571428561E-2</v>
      </c>
      <c r="E19" s="117">
        <f>E20*O15</f>
        <v>0.12267391304347826</v>
      </c>
      <c r="F19" s="114">
        <f>((C19/16)*8)+((D19/8)*7)</f>
        <v>0.16904347826086955</v>
      </c>
      <c r="G19" s="114">
        <f>(E19+F19)*184</f>
        <v>53.676000000000002</v>
      </c>
      <c r="H19" s="115">
        <f>((E19+F19)*365)/100</f>
        <v>1.0647684782608695</v>
      </c>
      <c r="I19"/>
      <c r="M19" s="1"/>
    </row>
    <row r="20" spans="1:15" ht="15" x14ac:dyDescent="0.25">
      <c r="A20"/>
      <c r="B20"/>
      <c r="C20" s="118">
        <v>1.9130434782608695E-2</v>
      </c>
      <c r="D20" s="118">
        <v>9.7959183673469383E-3</v>
      </c>
      <c r="E20" s="118">
        <v>1.0760869565217391E-2</v>
      </c>
      <c r="F20" s="116">
        <v>1.8136645962732918E-2</v>
      </c>
      <c r="G20" s="116">
        <f>(E20+F20)*184</f>
        <v>5.3171428571428567</v>
      </c>
      <c r="H20" s="116">
        <f>(E20+F20)*365</f>
        <v>10.547593167701862</v>
      </c>
      <c r="I20"/>
      <c r="K20"/>
      <c r="L20"/>
      <c r="M20"/>
    </row>
    <row r="21" spans="1:15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5" ht="21" customHeight="1" x14ac:dyDescent="0.25">
      <c r="A22" s="161" t="s">
        <v>9</v>
      </c>
      <c r="B22" s="162"/>
      <c r="C22" s="18" t="s">
        <v>42</v>
      </c>
      <c r="D22" s="18" t="s">
        <v>43</v>
      </c>
      <c r="E22" s="18" t="s">
        <v>44</v>
      </c>
      <c r="F22" s="18" t="s">
        <v>57</v>
      </c>
      <c r="G22" s="18" t="s">
        <v>46</v>
      </c>
      <c r="H22" s="18" t="s">
        <v>47</v>
      </c>
      <c r="I22"/>
      <c r="J22"/>
      <c r="K22"/>
      <c r="L22"/>
      <c r="M22"/>
    </row>
    <row r="23" spans="1:15" ht="13.5" customHeight="1" x14ac:dyDescent="0.25">
      <c r="A23" s="163"/>
      <c r="B23" s="164"/>
      <c r="C23" s="19"/>
      <c r="D23" s="19"/>
      <c r="E23" s="19"/>
      <c r="F23" s="20"/>
      <c r="G23" s="20"/>
      <c r="H23" s="20"/>
    </row>
    <row r="24" spans="1:15" ht="15" x14ac:dyDescent="0.25">
      <c r="A24" s="155" t="s">
        <v>48</v>
      </c>
      <c r="B24" s="156"/>
      <c r="C24" s="114">
        <f>C25*O15</f>
        <v>2.9590434782608694</v>
      </c>
      <c r="D24" s="114">
        <f>O16*D25</f>
        <v>0.90857142857142859</v>
      </c>
      <c r="E24" s="114">
        <f>O15*E25</f>
        <v>1.6644619565217391</v>
      </c>
      <c r="F24" s="114">
        <f>((C24/16)*8)+((D24/8)*7)</f>
        <v>2.2745217391304346</v>
      </c>
      <c r="G24" s="114">
        <f>(E24+F24)*184</f>
        <v>724.77299999999991</v>
      </c>
      <c r="H24" s="115">
        <f>((E24+F24)*365)/100</f>
        <v>14.377290489130433</v>
      </c>
    </row>
    <row r="25" spans="1:15" ht="15" x14ac:dyDescent="0.25">
      <c r="A25" s="157"/>
      <c r="B25" s="158"/>
      <c r="C25" s="116">
        <v>0.25956521739130434</v>
      </c>
      <c r="D25" s="116">
        <v>0.12979591836734694</v>
      </c>
      <c r="E25" s="116">
        <v>0.14600543478260869</v>
      </c>
      <c r="F25" s="116">
        <v>0.24335403726708074</v>
      </c>
      <c r="G25" s="116">
        <f>(E25+F25)*184</f>
        <v>71.642142857142858</v>
      </c>
      <c r="H25" s="116">
        <f>(E25+F25)*365</f>
        <v>142.11620729813666</v>
      </c>
    </row>
    <row r="26" spans="1:15" ht="15" x14ac:dyDescent="0.25">
      <c r="A26" s="155" t="s">
        <v>49</v>
      </c>
      <c r="B26" s="156"/>
      <c r="C26" s="117">
        <f>C27*O15</f>
        <v>0.24782608695652175</v>
      </c>
      <c r="D26" s="117">
        <f>D27*O16</f>
        <v>8.5714285714285715E-2</v>
      </c>
      <c r="E26" s="117">
        <f>E27*O15</f>
        <v>0.13940217391304346</v>
      </c>
      <c r="F26" s="114">
        <f>((C26/16)*8)+((D26/8)*7)</f>
        <v>0.19891304347826089</v>
      </c>
      <c r="G26" s="114">
        <f>(E26+F26)*184</f>
        <v>62.249999999999993</v>
      </c>
      <c r="H26" s="115">
        <f>((E26+F26)*365)/100</f>
        <v>1.2348505434782608</v>
      </c>
    </row>
    <row r="27" spans="1:15" ht="15" x14ac:dyDescent="0.25">
      <c r="A27"/>
      <c r="B27"/>
      <c r="C27" s="118">
        <v>2.1739130434782608E-2</v>
      </c>
      <c r="D27" s="118">
        <v>1.2244897959183673E-2</v>
      </c>
      <c r="E27" s="118">
        <v>1.2228260869565216E-2</v>
      </c>
      <c r="F27" s="116">
        <v>2.1583850931677018E-2</v>
      </c>
      <c r="G27" s="116">
        <f>(E27+F27)*184</f>
        <v>6.2214285714285706</v>
      </c>
      <c r="H27" s="116">
        <f>(E27+F27)*365</f>
        <v>12.341420807453414</v>
      </c>
    </row>
    <row r="31" spans="1:15" x14ac:dyDescent="0.25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5" spans="1:19" ht="21" customHeight="1" x14ac:dyDescent="0.25">
      <c r="A35" s="161" t="s">
        <v>5</v>
      </c>
      <c r="B35" s="162"/>
      <c r="C35" s="18" t="s">
        <v>42</v>
      </c>
      <c r="D35" s="18" t="s">
        <v>43</v>
      </c>
      <c r="E35" s="18" t="s">
        <v>44</v>
      </c>
      <c r="F35" s="18" t="s">
        <v>45</v>
      </c>
      <c r="G35" s="18" t="s">
        <v>46</v>
      </c>
      <c r="H35" s="18" t="s">
        <v>47</v>
      </c>
    </row>
    <row r="36" spans="1:19" ht="15" customHeight="1" x14ac:dyDescent="0.25">
      <c r="A36" s="163"/>
      <c r="B36" s="164"/>
      <c r="C36" s="19"/>
      <c r="D36" s="19"/>
      <c r="E36" s="19"/>
      <c r="F36" s="20"/>
      <c r="G36" s="20"/>
      <c r="H36" s="20"/>
      <c r="N36" s="61"/>
    </row>
    <row r="37" spans="1:19" ht="15" x14ac:dyDescent="0.25">
      <c r="A37" s="155" t="s">
        <v>48</v>
      </c>
      <c r="B37" s="156"/>
      <c r="C37" s="114">
        <f>C38*O15</f>
        <v>127.63539130434764</v>
      </c>
      <c r="D37" s="114">
        <f>D38*O16</f>
        <v>39.222857142857158</v>
      </c>
      <c r="E37" s="114">
        <f>((C37/16)*9)</f>
        <v>71.794907608695539</v>
      </c>
      <c r="F37" s="114">
        <f>((C37/16)*8)+((D37/8)*7)</f>
        <v>98.137695652173832</v>
      </c>
      <c r="G37" s="115">
        <f>(((SUM(E37:F37))*158)+((S43*24)*26))/100</f>
        <v>312.1735131521736</v>
      </c>
      <c r="H37" s="115">
        <f>(((SUM(E37:F37))*313)+(($S$43*24)*52))/100</f>
        <v>619.24904820652114</v>
      </c>
      <c r="J37" s="50" t="s">
        <v>61</v>
      </c>
      <c r="K37" s="51"/>
      <c r="L37" s="50">
        <v>106</v>
      </c>
      <c r="M37" s="52">
        <v>1</v>
      </c>
      <c r="N37" s="61"/>
    </row>
    <row r="38" spans="1:19" ht="15" x14ac:dyDescent="0.25">
      <c r="A38" s="23"/>
      <c r="B38" s="23"/>
      <c r="C38" s="116">
        <f>1.01782608695652*L38</f>
        <v>11.196086956521722</v>
      </c>
      <c r="D38" s="116">
        <f>0.509387755102041*L38</f>
        <v>5.6032653061224513</v>
      </c>
      <c r="E38" s="116">
        <f>((C38/16)*9)</f>
        <v>6.2977989130434686</v>
      </c>
      <c r="F38" s="116">
        <f>((((C38/16)*8)+((D38/8)*7)))</f>
        <v>10.500900621118006</v>
      </c>
      <c r="G38" s="116">
        <f>16.8*184</f>
        <v>3091.2000000000003</v>
      </c>
      <c r="H38" s="116">
        <f>((E38+F38)*365)</f>
        <v>6131.5253299689384</v>
      </c>
      <c r="J38" s="51" t="s">
        <v>48</v>
      </c>
      <c r="K38" s="51"/>
      <c r="L38" s="51">
        <v>11</v>
      </c>
      <c r="M38" s="53">
        <f>L38*M37/L37</f>
        <v>0.10377358490566038</v>
      </c>
      <c r="N38" s="61"/>
      <c r="P38" s="61"/>
    </row>
    <row r="39" spans="1:19" ht="15" x14ac:dyDescent="0.25">
      <c r="A39" s="155" t="s">
        <v>49</v>
      </c>
      <c r="B39" s="156"/>
      <c r="C39" s="117">
        <f>C12*L39</f>
        <v>9.2130612244897954</v>
      </c>
      <c r="D39" s="117">
        <f>D12*L47</f>
        <v>0.1337142857142857</v>
      </c>
      <c r="E39" s="117">
        <f>(($C$10*L39)/16)*9</f>
        <v>587.41288043478175</v>
      </c>
      <c r="F39" s="114">
        <f>((C39/16)*8)+((D39/8)*7)</f>
        <v>4.7235306122448977</v>
      </c>
      <c r="G39" s="115">
        <f>(((SUM(E39:F39))*158)+((S43*24)*26))/100</f>
        <v>979.25552945430206</v>
      </c>
      <c r="H39" s="115">
        <f>(((SUM(E39:F39))*313)+(($S$43*24)*52))/100</f>
        <v>1940.7469665771932</v>
      </c>
      <c r="J39" s="51" t="s">
        <v>49</v>
      </c>
      <c r="K39" s="51"/>
      <c r="L39" s="51">
        <v>90</v>
      </c>
      <c r="M39" s="53">
        <f>L39*M37/L37</f>
        <v>0.84905660377358494</v>
      </c>
      <c r="N39" s="61"/>
      <c r="P39" s="165" t="s">
        <v>50</v>
      </c>
      <c r="Q39" s="166"/>
      <c r="R39" s="166"/>
      <c r="S39" s="28" t="s">
        <v>51</v>
      </c>
    </row>
    <row r="40" spans="1:19" ht="15" x14ac:dyDescent="0.25">
      <c r="A40" s="23"/>
      <c r="B40" s="23"/>
      <c r="C40" s="118">
        <f>0.00897959183673469*L39</f>
        <v>0.80816326530612215</v>
      </c>
      <c r="D40" s="118">
        <f>D39/S43</f>
        <v>1.9102040816326528E-2</v>
      </c>
      <c r="E40" s="118">
        <f>(($C$11*L39)/16)*9</f>
        <v>51.527445652173832</v>
      </c>
      <c r="F40" s="116">
        <f>((((C40/16)*8)+((D40/8)*7)))</f>
        <v>0.42079591836734681</v>
      </c>
      <c r="G40" s="116">
        <f>51.95*184</f>
        <v>9558.8000000000011</v>
      </c>
      <c r="H40" s="116">
        <f>(E40+F40)*365</f>
        <v>18961.108173247529</v>
      </c>
      <c r="J40" s="51" t="s">
        <v>62</v>
      </c>
      <c r="K40" s="51"/>
      <c r="L40" s="51">
        <v>5</v>
      </c>
      <c r="M40" s="53">
        <f>L40*M37/L37</f>
        <v>4.716981132075472E-2</v>
      </c>
      <c r="N40" s="61"/>
      <c r="P40" s="171" t="s">
        <v>81</v>
      </c>
      <c r="Q40" s="172"/>
      <c r="R40" s="172"/>
      <c r="S40" s="33"/>
    </row>
    <row r="41" spans="1:19" ht="15" x14ac:dyDescent="0.25">
      <c r="A41" s="159" t="s">
        <v>62</v>
      </c>
      <c r="B41" s="160"/>
      <c r="C41" s="124">
        <v>0</v>
      </c>
      <c r="D41" s="124">
        <v>0</v>
      </c>
      <c r="E41" s="124">
        <v>0</v>
      </c>
      <c r="F41" s="114">
        <v>0</v>
      </c>
      <c r="G41" s="115">
        <v>0</v>
      </c>
      <c r="H41" s="115">
        <v>0</v>
      </c>
      <c r="J41" s="51"/>
      <c r="K41" s="51"/>
      <c r="L41" s="51"/>
      <c r="M41" s="51"/>
      <c r="N41" s="61"/>
      <c r="P41" s="31" t="s">
        <v>52</v>
      </c>
      <c r="Q41" s="32"/>
      <c r="R41" s="32"/>
      <c r="S41" s="33"/>
    </row>
    <row r="42" spans="1:19" ht="15" x14ac:dyDescent="0.25">
      <c r="A42" s="23"/>
      <c r="B42" s="23"/>
      <c r="C42" s="118">
        <v>0</v>
      </c>
      <c r="D42" s="118">
        <v>0</v>
      </c>
      <c r="E42" s="118">
        <f>(($C$11*L40)/16)*9</f>
        <v>2.8626358695652128</v>
      </c>
      <c r="F42" s="116">
        <f>((((C42/16)*8)+((D42/8)*7))*L41)</f>
        <v>0</v>
      </c>
      <c r="G42" s="116">
        <f>E42*184</f>
        <v>526.72499999999911</v>
      </c>
      <c r="H42" s="116">
        <f>E42*365</f>
        <v>1044.8620923913027</v>
      </c>
      <c r="P42" s="31" t="s">
        <v>53</v>
      </c>
      <c r="Q42" s="32"/>
      <c r="R42" s="32"/>
      <c r="S42" s="35">
        <v>11.4</v>
      </c>
    </row>
    <row r="43" spans="1:19" ht="15" x14ac:dyDescent="0.25">
      <c r="A43"/>
      <c r="B43"/>
      <c r="C43"/>
      <c r="D43"/>
      <c r="E43"/>
      <c r="F43"/>
      <c r="G43"/>
      <c r="H43"/>
      <c r="P43" s="31" t="s">
        <v>54</v>
      </c>
      <c r="Q43" s="32"/>
      <c r="R43" s="32"/>
      <c r="S43" s="35">
        <v>7</v>
      </c>
    </row>
    <row r="44" spans="1:19" ht="21" customHeight="1" x14ac:dyDescent="0.25">
      <c r="A44" s="161" t="s">
        <v>7</v>
      </c>
      <c r="B44" s="162"/>
      <c r="C44" s="18" t="s">
        <v>42</v>
      </c>
      <c r="D44" s="18" t="s">
        <v>43</v>
      </c>
      <c r="E44" s="18" t="s">
        <v>44</v>
      </c>
      <c r="F44" s="18" t="s">
        <v>45</v>
      </c>
      <c r="G44" s="18" t="s">
        <v>46</v>
      </c>
      <c r="H44" s="18" t="s">
        <v>47</v>
      </c>
      <c r="P44" s="36"/>
      <c r="Q44" s="37"/>
      <c r="R44" s="37"/>
      <c r="S44" s="38"/>
    </row>
    <row r="45" spans="1:19" ht="13.5" customHeight="1" x14ac:dyDescent="0.25">
      <c r="A45" s="163"/>
      <c r="B45" s="164"/>
      <c r="C45" s="19"/>
      <c r="D45" s="19"/>
      <c r="E45" s="19"/>
      <c r="F45" s="20"/>
      <c r="G45" s="20"/>
      <c r="H45" s="20"/>
      <c r="N45" s="125"/>
      <c r="P45" t="s">
        <v>82</v>
      </c>
      <c r="R45" s="1"/>
    </row>
    <row r="46" spans="1:19" ht="15" x14ac:dyDescent="0.25">
      <c r="A46" s="155" t="s">
        <v>48</v>
      </c>
      <c r="B46" s="156"/>
      <c r="C46" s="114">
        <f>C47*O15</f>
        <v>28.454400000000007</v>
      </c>
      <c r="D46" s="114">
        <f>D47*O16</f>
        <v>8.7360000000000007</v>
      </c>
      <c r="E46" s="114">
        <f>((C46/16)*9)</f>
        <v>16.005600000000005</v>
      </c>
      <c r="F46" s="114">
        <f>((C46/16)*8)+((D46/8)*7)</f>
        <v>21.871200000000002</v>
      </c>
      <c r="G46" s="115">
        <f>(((SUM(E46:F46))*158)+((S43*24)*26))/100</f>
        <v>103.525344</v>
      </c>
      <c r="H46" s="115">
        <f>(((SUM(E46:F46))*313)+(($S$43*24)*52))/100</f>
        <v>205.91438399999998</v>
      </c>
      <c r="J46" s="50" t="s">
        <v>7</v>
      </c>
      <c r="K46" s="57"/>
      <c r="L46" s="50">
        <v>78</v>
      </c>
      <c r="M46" s="58">
        <v>1</v>
      </c>
      <c r="N46" s="61"/>
    </row>
    <row r="47" spans="1:19" ht="15" x14ac:dyDescent="0.25">
      <c r="A47" s="157"/>
      <c r="B47" s="158"/>
      <c r="C47" s="116">
        <f>(0.32*L47)</f>
        <v>2.4960000000000004</v>
      </c>
      <c r="D47" s="116">
        <f>0.16*L47</f>
        <v>1.2480000000000002</v>
      </c>
      <c r="E47" s="116">
        <f>((C47/16)*9)</f>
        <v>1.4040000000000004</v>
      </c>
      <c r="F47" s="116">
        <f>((((C47/16)*8)+((D47/8)*7)))</f>
        <v>2.3400000000000003</v>
      </c>
      <c r="G47" s="116">
        <f>((E47+F47)*184)</f>
        <v>688.89600000000007</v>
      </c>
      <c r="H47" s="116">
        <f>((E47+F47)*365)</f>
        <v>1366.5600000000002</v>
      </c>
      <c r="J47" s="51" t="s">
        <v>48</v>
      </c>
      <c r="K47" s="51"/>
      <c r="L47" s="59">
        <f>L46/M46*M47</f>
        <v>7.8000000000000007</v>
      </c>
      <c r="M47" s="60">
        <v>0.1</v>
      </c>
      <c r="N47" s="61"/>
      <c r="Q47"/>
      <c r="R47"/>
      <c r="S47"/>
    </row>
    <row r="48" spans="1:19" ht="15" x14ac:dyDescent="0.25">
      <c r="A48" s="155" t="s">
        <v>49</v>
      </c>
      <c r="B48" s="156"/>
      <c r="C48" s="117">
        <f>C49*O15</f>
        <v>14.459165217391307</v>
      </c>
      <c r="D48" s="117">
        <f>D49*O16</f>
        <v>4.5462857142857143</v>
      </c>
      <c r="E48" s="117">
        <f>(($C$10*L48)/16)*9</f>
        <v>432.72748858695581</v>
      </c>
      <c r="F48" s="114">
        <f>((C48/16)*8)+((D48/8)*7)</f>
        <v>11.207582608695652</v>
      </c>
      <c r="G48" s="115">
        <f>(((SUM(E48:F48))*158)+((S43*24)*26))/100</f>
        <v>745.0974124891294</v>
      </c>
      <c r="H48" s="115">
        <f>(((SUM(E48:F48))*313)+(($S$43*24)*52))/100</f>
        <v>1476.8767728423891</v>
      </c>
      <c r="J48" s="51" t="s">
        <v>49</v>
      </c>
      <c r="K48" s="51"/>
      <c r="L48" s="59">
        <f>L46/M46*M48</f>
        <v>66.3</v>
      </c>
      <c r="M48" s="60">
        <v>0.85</v>
      </c>
      <c r="N48" s="61"/>
      <c r="P48" s="61"/>
    </row>
    <row r="49" spans="1:16" ht="15" x14ac:dyDescent="0.25">
      <c r="A49"/>
      <c r="B49"/>
      <c r="C49" s="118">
        <f>0.0191304347826087*L48</f>
        <v>1.2683478260869567</v>
      </c>
      <c r="D49" s="118">
        <f>0.00979591836734694*L48</f>
        <v>0.6494693877551021</v>
      </c>
      <c r="E49" s="118">
        <f>(($C$11*L48)/16)*9</f>
        <v>37.958551630434719</v>
      </c>
      <c r="F49" s="116">
        <f>((((C49/16)*8)+((D49/8)*7)))</f>
        <v>1.2024596273291928</v>
      </c>
      <c r="G49" s="116">
        <f>((E49+F49)*184)</f>
        <v>7205.626071428559</v>
      </c>
      <c r="H49" s="116">
        <f>((E49+F49)*365)</f>
        <v>14293.769109083827</v>
      </c>
      <c r="J49" s="51" t="s">
        <v>62</v>
      </c>
      <c r="K49" s="51"/>
      <c r="L49" s="59">
        <f>L46/M46*M49</f>
        <v>3.9000000000000004</v>
      </c>
      <c r="M49" s="60">
        <v>0.05</v>
      </c>
      <c r="N49" s="61"/>
      <c r="P49" s="61"/>
    </row>
    <row r="50" spans="1:16" ht="15" x14ac:dyDescent="0.25">
      <c r="A50" s="159" t="s">
        <v>62</v>
      </c>
      <c r="B50" s="160"/>
      <c r="C50" s="124">
        <v>0</v>
      </c>
      <c r="D50" s="124">
        <v>0</v>
      </c>
      <c r="E50" s="124">
        <v>0</v>
      </c>
      <c r="F50" s="114">
        <v>0</v>
      </c>
      <c r="G50" s="115">
        <v>0</v>
      </c>
      <c r="H50" s="115">
        <v>0</v>
      </c>
      <c r="J50" s="51"/>
      <c r="K50" s="51"/>
      <c r="L50" s="51"/>
      <c r="M50" s="51"/>
      <c r="N50" s="61"/>
      <c r="O50" s="61"/>
      <c r="P50" s="61"/>
    </row>
    <row r="51" spans="1:16" ht="15" x14ac:dyDescent="0.25">
      <c r="A51" s="23"/>
      <c r="B51" s="23"/>
      <c r="C51" s="126">
        <v>0</v>
      </c>
      <c r="D51" s="126">
        <v>0</v>
      </c>
      <c r="E51" s="126">
        <f>(($C$11*L49)/16)*9</f>
        <v>2.2328559782608663</v>
      </c>
      <c r="F51" s="127">
        <f>((((C51/16)*8)+((D51/8)*7)))</f>
        <v>0</v>
      </c>
      <c r="G51" s="128">
        <f>E51*184</f>
        <v>410.84549999999939</v>
      </c>
      <c r="H51" s="128">
        <f>E51*365</f>
        <v>814.99243206521624</v>
      </c>
      <c r="J51" s="61"/>
      <c r="K51" s="61"/>
      <c r="L51" s="61"/>
      <c r="M51" s="61"/>
      <c r="N51" s="61"/>
      <c r="O51" s="61"/>
      <c r="P51" s="61"/>
    </row>
    <row r="52" spans="1:16" ht="15" x14ac:dyDescent="0.25">
      <c r="A52"/>
      <c r="B52"/>
      <c r="C52"/>
      <c r="D52"/>
      <c r="E52"/>
      <c r="F52"/>
      <c r="G52"/>
      <c r="H52"/>
      <c r="J52" s="61"/>
      <c r="K52" s="61"/>
      <c r="L52" s="61"/>
      <c r="M52" s="61"/>
      <c r="N52" s="61"/>
      <c r="O52" s="61"/>
      <c r="P52" s="61"/>
    </row>
    <row r="53" spans="1:16" ht="21" customHeight="1" x14ac:dyDescent="0.25">
      <c r="A53" s="161" t="s">
        <v>9</v>
      </c>
      <c r="B53" s="162"/>
      <c r="C53" s="18" t="s">
        <v>42</v>
      </c>
      <c r="D53" s="18" t="s">
        <v>43</v>
      </c>
      <c r="E53" s="18" t="s">
        <v>44</v>
      </c>
      <c r="F53" s="18" t="s">
        <v>57</v>
      </c>
      <c r="G53" s="18" t="s">
        <v>46</v>
      </c>
      <c r="H53" s="18" t="s">
        <v>47</v>
      </c>
      <c r="J53" s="61"/>
      <c r="K53" s="61"/>
      <c r="L53" s="61"/>
      <c r="M53" s="61"/>
      <c r="N53" s="61"/>
      <c r="O53" s="61"/>
      <c r="P53" s="61"/>
    </row>
    <row r="54" spans="1:16" ht="9.75" customHeight="1" x14ac:dyDescent="0.25">
      <c r="A54" s="163"/>
      <c r="B54" s="164"/>
      <c r="C54" s="19"/>
      <c r="D54" s="19"/>
      <c r="E54" s="19"/>
      <c r="F54" s="20"/>
      <c r="G54" s="20"/>
      <c r="H54" s="20"/>
      <c r="N54" s="125"/>
      <c r="P54" s="61"/>
    </row>
    <row r="55" spans="1:16" ht="15" x14ac:dyDescent="0.25">
      <c r="A55" s="155" t="s">
        <v>48</v>
      </c>
      <c r="B55" s="156"/>
      <c r="C55" s="114">
        <f>(C56*O15)</f>
        <v>20.121495652173891</v>
      </c>
      <c r="D55" s="114">
        <f>(O16*D56)</f>
        <v>6.1782857142857175</v>
      </c>
      <c r="E55" s="114">
        <f>((C55/16)*9)</f>
        <v>11.318341304347815</v>
      </c>
      <c r="F55" s="114">
        <f>((C55/16)*8)+((D55/8)*7)</f>
        <v>15.466747826086948</v>
      </c>
      <c r="G55" s="115">
        <f>(((SUM(E55:F55))*158)+((S43*24)*26))/100</f>
        <v>86.00044082608693</v>
      </c>
      <c r="H55" s="115">
        <f>(((SUM(E55:F55))*313)+(($S$43*24)*52))/100</f>
        <v>171.1973289782608</v>
      </c>
      <c r="J55" s="50" t="s">
        <v>9</v>
      </c>
      <c r="K55" s="57"/>
      <c r="L55" s="50">
        <v>68</v>
      </c>
      <c r="M55" s="58">
        <v>1</v>
      </c>
      <c r="N55" s="61"/>
    </row>
    <row r="56" spans="1:16" ht="15" x14ac:dyDescent="0.25">
      <c r="A56" s="157"/>
      <c r="B56" s="158"/>
      <c r="C56" s="116">
        <f>0.259565217391304*L56</f>
        <v>1.7650434782608675</v>
      </c>
      <c r="D56" s="116">
        <f>0.129795918367347*L56</f>
        <v>0.88261224489795964</v>
      </c>
      <c r="E56" s="116">
        <f>((C56/16)*9)</f>
        <v>0.99283695652173798</v>
      </c>
      <c r="F56" s="116">
        <f>((((C56/16)*8)+((D56/8)*7)))</f>
        <v>1.6548074534161485</v>
      </c>
      <c r="G56" s="116">
        <f>((E56+F56)*184)</f>
        <v>487.1665714285711</v>
      </c>
      <c r="H56" s="116">
        <f>((E56+F56)*365)</f>
        <v>966.39020962732855</v>
      </c>
      <c r="J56" s="51" t="s">
        <v>48</v>
      </c>
      <c r="K56" s="51"/>
      <c r="L56" s="59">
        <f>L55/M55*M56</f>
        <v>6.8000000000000007</v>
      </c>
      <c r="M56" s="60">
        <v>0.1</v>
      </c>
      <c r="N56" s="61"/>
    </row>
    <row r="57" spans="1:16" ht="15" x14ac:dyDescent="0.25">
      <c r="A57" s="155" t="s">
        <v>49</v>
      </c>
      <c r="B57" s="156"/>
      <c r="C57" s="117">
        <f>C58*O15</f>
        <v>14.324347826086949</v>
      </c>
      <c r="D57" s="117">
        <f>D58*O16</f>
        <v>4.9542857142857244</v>
      </c>
      <c r="E57" s="117">
        <f>(($C$10*L57)/16)*9</f>
        <v>377.24960543478204</v>
      </c>
      <c r="F57" s="114">
        <f>((C57/16)*8)+((D57/8)*7)</f>
        <v>11.497173913043483</v>
      </c>
      <c r="G57" s="115">
        <f>(((SUM(E57:F57))*158)+((S43*24)*26))/100</f>
        <v>657.89991136956439</v>
      </c>
      <c r="H57" s="115">
        <f>(((SUM(E57:F57))*313)+(($S$43*24)*52))/100</f>
        <v>1304.1374193586939</v>
      </c>
      <c r="J57" s="51" t="s">
        <v>49</v>
      </c>
      <c r="K57" s="51"/>
      <c r="L57" s="59">
        <f>L55/M55*M57</f>
        <v>57.8</v>
      </c>
      <c r="M57" s="60">
        <v>0.85</v>
      </c>
      <c r="N57" s="61"/>
    </row>
    <row r="58" spans="1:16" ht="15" x14ac:dyDescent="0.25">
      <c r="A58"/>
      <c r="B58"/>
      <c r="C58" s="118">
        <f>0.0217391304347826*L57</f>
        <v>1.2565217391304342</v>
      </c>
      <c r="D58" s="118">
        <f>0.0122448979591837*L57</f>
        <v>0.70775510204081782</v>
      </c>
      <c r="E58" s="118">
        <f>(($C$11*L57)/16)*9</f>
        <v>33.092070652173859</v>
      </c>
      <c r="F58" s="116">
        <f>((((C58/16)*8)+((D58/8)*7)))</f>
        <v>1.2475465838509328</v>
      </c>
      <c r="G58" s="116">
        <f>((E58+F58)*184)</f>
        <v>6318.4895714285622</v>
      </c>
      <c r="H58" s="116">
        <f>((E58+F58)*365)</f>
        <v>12533.960291149049</v>
      </c>
      <c r="J58" s="51" t="s">
        <v>62</v>
      </c>
      <c r="K58" s="51"/>
      <c r="L58" s="59">
        <f>L55/M55*M58</f>
        <v>3.4000000000000004</v>
      </c>
      <c r="M58" s="60">
        <v>0.05</v>
      </c>
      <c r="N58" s="61"/>
    </row>
    <row r="59" spans="1:16" ht="15" x14ac:dyDescent="0.25">
      <c r="A59" s="159" t="s">
        <v>62</v>
      </c>
      <c r="B59" s="160"/>
      <c r="C59" s="124">
        <v>0</v>
      </c>
      <c r="D59" s="124">
        <v>0</v>
      </c>
      <c r="E59" s="124">
        <v>0</v>
      </c>
      <c r="F59" s="114">
        <v>0</v>
      </c>
      <c r="G59" s="115">
        <v>0</v>
      </c>
      <c r="H59" s="115">
        <v>0</v>
      </c>
      <c r="J59" s="51"/>
      <c r="K59" s="51"/>
      <c r="L59" s="51"/>
      <c r="M59" s="51"/>
    </row>
    <row r="60" spans="1:16" ht="15" x14ac:dyDescent="0.25">
      <c r="A60" s="23"/>
      <c r="B60" s="23"/>
      <c r="C60" s="126">
        <v>0</v>
      </c>
      <c r="D60" s="126">
        <v>0</v>
      </c>
      <c r="E60" s="126">
        <f>(($C$11*L58)/16)*9</f>
        <v>1.946592391304345</v>
      </c>
      <c r="F60" s="127">
        <f>((((C60/16)*8)+((D60/8)*7)))</f>
        <v>0</v>
      </c>
      <c r="G60" s="127">
        <f>E60*184</f>
        <v>358.17299999999949</v>
      </c>
      <c r="H60" s="127">
        <f>E60*365</f>
        <v>710.50622282608595</v>
      </c>
    </row>
    <row r="64" spans="1:16" ht="15.75" x14ac:dyDescent="0.25">
      <c r="A64"/>
      <c r="B64"/>
      <c r="C64" s="64"/>
      <c r="D64" s="64"/>
      <c r="E64" s="64"/>
      <c r="F64" s="64"/>
    </row>
    <row r="65" spans="1:6" ht="15" x14ac:dyDescent="0.25">
      <c r="A65"/>
      <c r="B65"/>
      <c r="C65" s="65"/>
      <c r="D65" s="65"/>
      <c r="E65" s="65"/>
      <c r="F65" s="65"/>
    </row>
    <row r="66" spans="1:6" ht="18.75" x14ac:dyDescent="0.3">
      <c r="A66" s="66"/>
      <c r="B66"/>
      <c r="C66" s="67"/>
      <c r="D66" s="67"/>
      <c r="E66" s="67"/>
      <c r="F66" s="129"/>
    </row>
    <row r="68" spans="1:6" ht="18.75" x14ac:dyDescent="0.3">
      <c r="A68" s="66"/>
      <c r="C68" s="69"/>
      <c r="D68" s="69"/>
      <c r="E68" s="69"/>
      <c r="F68" s="130"/>
    </row>
    <row r="70" spans="1:6" ht="15" x14ac:dyDescent="0.25">
      <c r="A70" s="72"/>
      <c r="B70" s="72"/>
      <c r="C70" s="72"/>
      <c r="D70" s="72"/>
      <c r="E70" s="72"/>
      <c r="F70" s="72"/>
    </row>
    <row r="71" spans="1:6" ht="12.75" customHeight="1" x14ac:dyDescent="0.25">
      <c r="A71" s="154" t="s">
        <v>63</v>
      </c>
      <c r="B71" s="154"/>
      <c r="C71" s="154"/>
      <c r="D71" s="154"/>
      <c r="E71" s="154"/>
      <c r="F71" s="154"/>
    </row>
    <row r="72" spans="1:6" ht="12.75" customHeight="1" x14ac:dyDescent="0.25">
      <c r="A72" s="154"/>
      <c r="B72" s="154"/>
      <c r="C72" s="154"/>
      <c r="D72" s="154"/>
      <c r="E72" s="154"/>
      <c r="F72" s="154"/>
    </row>
    <row r="73" spans="1:6" ht="12.75" customHeight="1" x14ac:dyDescent="0.25">
      <c r="A73" s="154"/>
      <c r="B73" s="154"/>
      <c r="C73" s="154"/>
      <c r="D73" s="154"/>
      <c r="E73" s="154"/>
      <c r="F73" s="154"/>
    </row>
    <row r="74" spans="1:6" ht="15.75" x14ac:dyDescent="0.25">
      <c r="A74" s="73"/>
      <c r="B74" s="73"/>
      <c r="C74" s="74" t="s">
        <v>5</v>
      </c>
      <c r="D74" s="75" t="s">
        <v>7</v>
      </c>
      <c r="E74" s="74" t="s">
        <v>9</v>
      </c>
      <c r="F74" s="75" t="s">
        <v>64</v>
      </c>
    </row>
    <row r="75" spans="1:6" ht="15" x14ac:dyDescent="0.25">
      <c r="A75" s="73"/>
      <c r="B75" s="73"/>
      <c r="C75" s="76" t="s">
        <v>65</v>
      </c>
      <c r="D75" s="77" t="s">
        <v>66</v>
      </c>
      <c r="E75" s="76" t="s">
        <v>67</v>
      </c>
      <c r="F75" s="77" t="s">
        <v>68</v>
      </c>
    </row>
    <row r="76" spans="1:6" ht="18.75" x14ac:dyDescent="0.3">
      <c r="A76" s="78" t="s">
        <v>69</v>
      </c>
      <c r="B76" s="73"/>
      <c r="C76" s="79">
        <f>(((SUM(F37,F39,F41))*131)+(((S43*8)+(S42*16))*26)+((S43*24)*27))/100</f>
        <v>242.09220640638853</v>
      </c>
      <c r="D76" s="80">
        <f>(((SUM(F46,F48,F50))*131)+(((S43*8)+(S42*16))*26)+((S43*24)*27))/100</f>
        <v>150.6772052173913</v>
      </c>
      <c r="E76" s="79">
        <f>(((SUM(F55,F57,F59))*131)+(((S43*8)+(S42*16))*26)+((S43*24)*27))/100</f>
        <v>142.66673747826087</v>
      </c>
      <c r="F76" s="81">
        <f>SUM(C76:E76)</f>
        <v>535.43614910204064</v>
      </c>
    </row>
    <row r="77" spans="1:6" ht="15" x14ac:dyDescent="0.25">
      <c r="A77" s="73"/>
      <c r="B77" s="73"/>
      <c r="C77" s="82"/>
      <c r="D77" s="34"/>
      <c r="E77" s="82"/>
      <c r="F77" s="34"/>
    </row>
    <row r="78" spans="1:6" ht="18.75" x14ac:dyDescent="0.3">
      <c r="A78" s="78" t="s">
        <v>70</v>
      </c>
      <c r="B78" s="83"/>
      <c r="C78" s="84">
        <f>((SUM(F38,F40,F42))*131)+((SUM(E38:F38,E40:F40,E42:F42))*53)</f>
        <v>5226.0498263087784</v>
      </c>
      <c r="D78" s="85">
        <f>((SUM(F47,F49,F51))*131)+((SUM(E47:F47,E49:F49,E51:F51))*53)</f>
        <v>2856.3691746894374</v>
      </c>
      <c r="E78" s="84">
        <f>((SUM(F56,F58,F60))*131)+((SUM(E56:F56,E58:F58,E60:F60))*53)</f>
        <v>2443.7026428571403</v>
      </c>
      <c r="F78" s="86">
        <f>SUM(C78:E78)</f>
        <v>10526.121643855357</v>
      </c>
    </row>
    <row r="79" spans="1:6" ht="15" x14ac:dyDescent="0.25">
      <c r="A79"/>
      <c r="B79"/>
      <c r="C79"/>
      <c r="D79"/>
      <c r="E79"/>
      <c r="F79"/>
    </row>
    <row r="80" spans="1:6" ht="12.75" customHeight="1" x14ac:dyDescent="0.25">
      <c r="A80" s="154" t="s">
        <v>71</v>
      </c>
      <c r="B80" s="154"/>
      <c r="C80" s="154"/>
      <c r="D80" s="154"/>
      <c r="E80" s="154"/>
      <c r="F80" s="154"/>
    </row>
    <row r="81" spans="1:6" ht="12.75" customHeight="1" x14ac:dyDescent="0.25">
      <c r="A81" s="154"/>
      <c r="B81" s="154"/>
      <c r="C81" s="154"/>
      <c r="D81" s="154"/>
      <c r="E81" s="154"/>
      <c r="F81" s="154"/>
    </row>
    <row r="82" spans="1:6" ht="12.75" customHeight="1" x14ac:dyDescent="0.25">
      <c r="A82" s="154"/>
      <c r="B82" s="154"/>
      <c r="C82" s="154"/>
      <c r="D82" s="154"/>
      <c r="E82" s="154"/>
      <c r="F82" s="154"/>
    </row>
    <row r="83" spans="1:6" ht="15.75" x14ac:dyDescent="0.25">
      <c r="A83" s="73"/>
      <c r="B83" s="73"/>
      <c r="C83" s="74" t="s">
        <v>5</v>
      </c>
      <c r="D83" s="75" t="s">
        <v>7</v>
      </c>
      <c r="E83" s="74" t="s">
        <v>9</v>
      </c>
      <c r="F83" s="75" t="s">
        <v>64</v>
      </c>
    </row>
    <row r="84" spans="1:6" ht="15" x14ac:dyDescent="0.25">
      <c r="A84" s="73"/>
      <c r="B84" s="73"/>
      <c r="C84" s="76" t="s">
        <v>65</v>
      </c>
      <c r="D84" s="77" t="s">
        <v>66</v>
      </c>
      <c r="E84" s="76" t="s">
        <v>67</v>
      </c>
      <c r="F84" s="77" t="s">
        <v>68</v>
      </c>
    </row>
    <row r="85" spans="1:6" ht="18.75" x14ac:dyDescent="0.3">
      <c r="A85" s="78" t="s">
        <v>69</v>
      </c>
      <c r="B85" s="73"/>
      <c r="C85" s="79">
        <f>(((SUM(E37:F37,E39:F39,E41:F41))*157)+((24*S43)*27))/100</f>
        <v>1241.8083524633969</v>
      </c>
      <c r="D85" s="80">
        <f>(((SUM(E46:F46,E48:F48,E50:F50))*157)+((24*S43)*27))/100</f>
        <v>801.80463777717273</v>
      </c>
      <c r="E85" s="79">
        <f>(((SUM(E55:F55,E57:F57,E59:F59))*157)+((24*S43)*27))/100</f>
        <v>697.74503351086867</v>
      </c>
      <c r="F85" s="81">
        <f>SUM(C85:E85)</f>
        <v>2741.3580237514384</v>
      </c>
    </row>
    <row r="86" spans="1:6" ht="15" x14ac:dyDescent="0.25">
      <c r="A86" s="73"/>
      <c r="B86" s="73"/>
      <c r="C86" s="82"/>
      <c r="D86" s="34"/>
      <c r="E86" s="82"/>
      <c r="F86" s="34"/>
    </row>
    <row r="87" spans="1:6" ht="18.75" x14ac:dyDescent="0.3">
      <c r="A87" s="78" t="s">
        <v>70</v>
      </c>
      <c r="B87" s="83"/>
      <c r="C87" s="84">
        <f>SUM(E38:F38,E40:F40,E42:F42)*184</f>
        <v>13176.162163265288</v>
      </c>
      <c r="D87" s="85">
        <f>SUM(E47:F47,E49:F49,E51:F51)*184</f>
        <v>8305.3675714285582</v>
      </c>
      <c r="E87" s="84">
        <f>SUM(E56:F56,E58:F58,E60:F60)*184</f>
        <v>7163.8291428571329</v>
      </c>
      <c r="F87" s="86">
        <f>SUM(C87:E87)</f>
        <v>28645.358877550978</v>
      </c>
    </row>
    <row r="88" spans="1:6" ht="15" x14ac:dyDescent="0.25">
      <c r="A88"/>
      <c r="B88"/>
      <c r="C88"/>
      <c r="D88"/>
      <c r="E88"/>
      <c r="F88"/>
    </row>
    <row r="89" spans="1:6" ht="12.75" customHeight="1" x14ac:dyDescent="0.25">
      <c r="A89" s="154" t="s">
        <v>72</v>
      </c>
      <c r="B89" s="154"/>
      <c r="C89" s="154"/>
      <c r="D89" s="154"/>
      <c r="E89" s="154"/>
      <c r="F89" s="154"/>
    </row>
    <row r="90" spans="1:6" ht="12.75" customHeight="1" x14ac:dyDescent="0.25">
      <c r="A90" s="154"/>
      <c r="B90" s="154"/>
      <c r="C90" s="154"/>
      <c r="D90" s="154"/>
      <c r="E90" s="154"/>
      <c r="F90" s="154"/>
    </row>
    <row r="91" spans="1:6" ht="12.75" customHeight="1" x14ac:dyDescent="0.25">
      <c r="A91" s="154"/>
      <c r="B91" s="154"/>
      <c r="C91" s="154"/>
      <c r="D91" s="154"/>
      <c r="E91" s="154"/>
      <c r="F91" s="154"/>
    </row>
    <row r="92" spans="1:6" ht="15.75" x14ac:dyDescent="0.25">
      <c r="A92" s="73"/>
      <c r="B92" s="73"/>
      <c r="C92" s="74" t="s">
        <v>5</v>
      </c>
      <c r="D92" s="75" t="s">
        <v>7</v>
      </c>
      <c r="E92" s="74" t="s">
        <v>9</v>
      </c>
      <c r="F92" s="75" t="s">
        <v>64</v>
      </c>
    </row>
    <row r="93" spans="1:6" ht="15" x14ac:dyDescent="0.25">
      <c r="A93" s="73"/>
      <c r="B93" s="73"/>
      <c r="C93" s="76" t="s">
        <v>65</v>
      </c>
      <c r="D93" s="77" t="s">
        <v>66</v>
      </c>
      <c r="E93" s="76" t="s">
        <v>67</v>
      </c>
      <c r="F93" s="77" t="s">
        <v>68</v>
      </c>
    </row>
    <row r="94" spans="1:6" ht="18.75" x14ac:dyDescent="0.3">
      <c r="A94" s="78" t="s">
        <v>69</v>
      </c>
      <c r="B94" s="73"/>
      <c r="C94" s="87">
        <f>C85-C76</f>
        <v>999.71614605700836</v>
      </c>
      <c r="D94" s="88">
        <f t="shared" ref="D94:E94" si="0">D85-D76</f>
        <v>651.12743255978148</v>
      </c>
      <c r="E94" s="87">
        <f t="shared" si="0"/>
        <v>555.0782960326078</v>
      </c>
      <c r="F94" s="81">
        <f>SUM(C94:E94)</f>
        <v>2205.9218746493975</v>
      </c>
    </row>
    <row r="95" spans="1:6" ht="15" x14ac:dyDescent="0.25">
      <c r="A95" s="73"/>
      <c r="B95" s="73"/>
      <c r="C95" s="89"/>
      <c r="D95" s="90"/>
      <c r="E95" s="89"/>
      <c r="F95" s="34"/>
    </row>
    <row r="96" spans="1:6" ht="18.75" x14ac:dyDescent="0.3">
      <c r="A96" s="78" t="s">
        <v>70</v>
      </c>
      <c r="B96" s="83"/>
      <c r="C96" s="91">
        <f>C87-C78</f>
        <v>7950.1123369565094</v>
      </c>
      <c r="D96" s="92">
        <f t="shared" ref="D96:E96" si="1">D87-D78</f>
        <v>5448.9983967391208</v>
      </c>
      <c r="E96" s="91">
        <f t="shared" si="1"/>
        <v>4720.126499999993</v>
      </c>
      <c r="F96" s="86">
        <f>SUM(C96:E96)</f>
        <v>18119.237233695625</v>
      </c>
    </row>
    <row r="97" spans="1:7" ht="15" x14ac:dyDescent="0.25">
      <c r="A97" s="72"/>
      <c r="B97" s="72"/>
      <c r="C97" s="72"/>
      <c r="D97" s="72"/>
      <c r="E97" s="72"/>
      <c r="F97" s="72"/>
    </row>
    <row r="98" spans="1:7" ht="12.75" customHeight="1" x14ac:dyDescent="0.25">
      <c r="A98" s="154" t="s">
        <v>73</v>
      </c>
      <c r="B98" s="154"/>
      <c r="C98" s="154"/>
      <c r="D98" s="154"/>
      <c r="E98" s="154"/>
      <c r="F98" s="154"/>
    </row>
    <row r="99" spans="1:7" ht="12.75" customHeight="1" x14ac:dyDescent="0.25">
      <c r="A99" s="154"/>
      <c r="B99" s="154"/>
      <c r="C99" s="154"/>
      <c r="D99" s="154"/>
      <c r="E99" s="154"/>
      <c r="F99" s="154"/>
      <c r="G99" s="55" t="s">
        <v>72</v>
      </c>
    </row>
    <row r="100" spans="1:7" ht="12.75" customHeight="1" x14ac:dyDescent="0.25">
      <c r="A100" s="154"/>
      <c r="B100" s="154"/>
      <c r="C100" s="154"/>
      <c r="D100" s="154"/>
      <c r="E100" s="154"/>
      <c r="F100" s="154"/>
      <c r="G100" s="55" t="s">
        <v>74</v>
      </c>
    </row>
    <row r="101" spans="1:7" ht="15.75" x14ac:dyDescent="0.25">
      <c r="A101" s="73"/>
      <c r="B101" s="73"/>
      <c r="C101" s="74" t="s">
        <v>5</v>
      </c>
      <c r="D101" s="75" t="s">
        <v>7</v>
      </c>
      <c r="E101" s="74" t="s">
        <v>9</v>
      </c>
      <c r="F101" s="75" t="s">
        <v>64</v>
      </c>
    </row>
    <row r="102" spans="1:7" ht="15" x14ac:dyDescent="0.25">
      <c r="A102" s="73"/>
      <c r="B102" s="73"/>
      <c r="C102" s="76" t="s">
        <v>65</v>
      </c>
      <c r="D102" s="77" t="s">
        <v>66</v>
      </c>
      <c r="E102" s="76" t="s">
        <v>67</v>
      </c>
      <c r="F102" s="77" t="s">
        <v>68</v>
      </c>
    </row>
    <row r="103" spans="1:7" ht="18.75" x14ac:dyDescent="0.3">
      <c r="A103" s="78" t="s">
        <v>69</v>
      </c>
      <c r="B103" s="73"/>
      <c r="C103" s="79">
        <f>(((SUM(F37,F39,F41))*261)+((($S$43*8)+($S$42*16))*52)+(($S$43*24)*52))/100</f>
        <v>479.79580055013292</v>
      </c>
      <c r="D103" s="80">
        <f>(((SUM(F46,F48,F50))*261)+((($S$43*8)+($S$42*16))*52)+(($S$43*24)*52))/100</f>
        <v>297.66362260869568</v>
      </c>
      <c r="E103" s="79">
        <f>(((SUM(F55,F57,F59))*261)+((($S$43*8)+($S$42*16))*52)+(($S$43*24)*52))/100</f>
        <v>281.70383573913045</v>
      </c>
      <c r="F103" s="81">
        <f>SUM(C103:E103)</f>
        <v>1059.1632588979592</v>
      </c>
    </row>
    <row r="104" spans="1:7" ht="15" x14ac:dyDescent="0.25">
      <c r="A104" s="73"/>
      <c r="B104" s="73"/>
      <c r="C104" s="82"/>
      <c r="D104" s="34"/>
      <c r="E104" s="82"/>
      <c r="F104" s="34"/>
    </row>
    <row r="105" spans="1:7" ht="18.75" x14ac:dyDescent="0.3">
      <c r="A105" s="78" t="s">
        <v>70</v>
      </c>
      <c r="B105" s="83"/>
      <c r="C105" s="84">
        <f>((SUM(F38,F40,F42))*261)+((SUM(E38:F38,E40:F40,E42:F42))*104)</f>
        <v>10297.958802129535</v>
      </c>
      <c r="D105" s="85">
        <f>((SUM(F47,F49,F51))*261)+((SUM(E47:F47,E49:F49,E51:F51))*104)</f>
        <v>5618.9201552794957</v>
      </c>
      <c r="E105" s="84">
        <f>((SUM(F56,F58,F60))*261)+((SUM(E56:F56,E58:F58,E60:F60))*104)</f>
        <v>4806.6352236024786</v>
      </c>
      <c r="F105" s="86">
        <f>SUM(C105:E105)</f>
        <v>20723.514181011509</v>
      </c>
    </row>
    <row r="106" spans="1:7" ht="15" x14ac:dyDescent="0.25">
      <c r="A106"/>
      <c r="B106"/>
      <c r="C106"/>
      <c r="D106"/>
      <c r="E106"/>
      <c r="F106"/>
    </row>
    <row r="107" spans="1:7" ht="12.75" customHeight="1" x14ac:dyDescent="0.25">
      <c r="A107" s="154" t="s">
        <v>75</v>
      </c>
      <c r="B107" s="154"/>
      <c r="C107" s="154"/>
      <c r="D107" s="154"/>
      <c r="E107" s="154"/>
      <c r="F107" s="154"/>
    </row>
    <row r="108" spans="1:7" ht="12.75" customHeight="1" x14ac:dyDescent="0.25">
      <c r="A108" s="154"/>
      <c r="B108" s="154"/>
      <c r="C108" s="154"/>
      <c r="D108" s="154"/>
      <c r="E108" s="154"/>
      <c r="F108" s="154"/>
    </row>
    <row r="109" spans="1:7" ht="12.75" customHeight="1" x14ac:dyDescent="0.25">
      <c r="A109" s="154"/>
      <c r="B109" s="154"/>
      <c r="C109" s="154"/>
      <c r="D109" s="154"/>
      <c r="E109" s="154"/>
      <c r="F109" s="154"/>
    </row>
    <row r="110" spans="1:7" ht="15.75" x14ac:dyDescent="0.25">
      <c r="A110" s="73"/>
      <c r="B110" s="73"/>
      <c r="C110" s="74" t="s">
        <v>5</v>
      </c>
      <c r="D110" s="75" t="s">
        <v>7</v>
      </c>
      <c r="E110" s="74" t="s">
        <v>9</v>
      </c>
      <c r="F110" s="75" t="s">
        <v>64</v>
      </c>
    </row>
    <row r="111" spans="1:7" ht="15" x14ac:dyDescent="0.25">
      <c r="A111" s="73"/>
      <c r="B111" s="73"/>
      <c r="C111" s="76" t="s">
        <v>65</v>
      </c>
      <c r="D111" s="77" t="s">
        <v>66</v>
      </c>
      <c r="E111" s="76" t="s">
        <v>67</v>
      </c>
      <c r="F111" s="77" t="s">
        <v>68</v>
      </c>
    </row>
    <row r="112" spans="1:7" ht="18.75" x14ac:dyDescent="0.3">
      <c r="A112" s="78" t="s">
        <v>69</v>
      </c>
      <c r="B112" s="73"/>
      <c r="C112" s="79">
        <f>(((SUM(E37:F37,E39:F39,E41:F41))*313)+((24*$S$43)*52))/100</f>
        <v>2472.6360147837149</v>
      </c>
      <c r="D112" s="80">
        <f>(((SUM(E46:F46,E48:F48,E50:F50))*313)+((24*$S$43)*52))/100</f>
        <v>1595.4311568423891</v>
      </c>
      <c r="E112" s="79">
        <f>(((SUM(E55:F55,E57:F57,E59:F59))*313)+((24*$S$43)*52))/100</f>
        <v>1387.9747483369545</v>
      </c>
      <c r="F112" s="81">
        <f>SUM(C112:E112)</f>
        <v>5456.0419199630587</v>
      </c>
    </row>
    <row r="113" spans="1:6" ht="15" x14ac:dyDescent="0.25">
      <c r="A113" s="73"/>
      <c r="B113" s="73"/>
      <c r="C113" s="82"/>
      <c r="D113" s="34"/>
      <c r="E113" s="79"/>
      <c r="F113" s="34"/>
    </row>
    <row r="114" spans="1:6" ht="18.75" x14ac:dyDescent="0.3">
      <c r="A114" s="78" t="s">
        <v>70</v>
      </c>
      <c r="B114" s="83"/>
      <c r="C114" s="84">
        <f>SUM(E38:F38,E40:F40,E42:F42)*365</f>
        <v>26137.495595607772</v>
      </c>
      <c r="D114" s="85">
        <f>SUM(E47:F47,E49:F49,E51:F51)*365</f>
        <v>16475.321541149042</v>
      </c>
      <c r="E114" s="84">
        <f>SUM(E56:F56,E58:F58,E60:F60)*365</f>
        <v>14210.856723602465</v>
      </c>
      <c r="F114" s="86">
        <f>SUM(C114:E114)</f>
        <v>56823.673860359282</v>
      </c>
    </row>
    <row r="115" spans="1:6" ht="15" x14ac:dyDescent="0.25">
      <c r="A115"/>
      <c r="B115"/>
      <c r="C115"/>
      <c r="D115"/>
      <c r="E115"/>
      <c r="F115"/>
    </row>
    <row r="116" spans="1:6" ht="12.75" customHeight="1" x14ac:dyDescent="0.25">
      <c r="A116" s="154" t="s">
        <v>72</v>
      </c>
      <c r="B116" s="154"/>
      <c r="C116" s="154"/>
      <c r="D116" s="154"/>
      <c r="E116" s="154"/>
      <c r="F116" s="154"/>
    </row>
    <row r="117" spans="1:6" ht="12.75" customHeight="1" x14ac:dyDescent="0.25">
      <c r="A117" s="154"/>
      <c r="B117" s="154"/>
      <c r="C117" s="154"/>
      <c r="D117" s="154"/>
      <c r="E117" s="154"/>
      <c r="F117" s="154"/>
    </row>
    <row r="118" spans="1:6" ht="12.75" customHeight="1" x14ac:dyDescent="0.25">
      <c r="A118" s="154"/>
      <c r="B118" s="154"/>
      <c r="C118" s="154"/>
      <c r="D118" s="154"/>
      <c r="E118" s="154"/>
      <c r="F118" s="154"/>
    </row>
    <row r="119" spans="1:6" ht="15.75" x14ac:dyDescent="0.25">
      <c r="A119" s="73"/>
      <c r="B119" s="73"/>
      <c r="C119" s="74" t="s">
        <v>5</v>
      </c>
      <c r="D119" s="75" t="s">
        <v>7</v>
      </c>
      <c r="E119" s="74" t="s">
        <v>9</v>
      </c>
      <c r="F119" s="75" t="s">
        <v>64</v>
      </c>
    </row>
    <row r="120" spans="1:6" ht="15" x14ac:dyDescent="0.25">
      <c r="A120" s="73"/>
      <c r="B120" s="73"/>
      <c r="C120" s="76" t="s">
        <v>65</v>
      </c>
      <c r="D120" s="77" t="s">
        <v>66</v>
      </c>
      <c r="E120" s="76" t="s">
        <v>67</v>
      </c>
      <c r="F120" s="77" t="s">
        <v>68</v>
      </c>
    </row>
    <row r="121" spans="1:6" ht="18.75" x14ac:dyDescent="0.3">
      <c r="A121" s="78" t="s">
        <v>69</v>
      </c>
      <c r="B121" s="73"/>
      <c r="C121" s="87">
        <f>C112-C103</f>
        <v>1992.8402142335819</v>
      </c>
      <c r="D121" s="88">
        <f t="shared" ref="D121:E121" si="2">D112-D103</f>
        <v>1297.7675342336934</v>
      </c>
      <c r="E121" s="87">
        <f t="shared" si="2"/>
        <v>1106.270912597824</v>
      </c>
      <c r="F121" s="81">
        <f>SUM(C121:E121)</f>
        <v>4396.8786610650986</v>
      </c>
    </row>
    <row r="122" spans="1:6" ht="15" x14ac:dyDescent="0.25">
      <c r="A122" s="73"/>
      <c r="B122" s="73"/>
      <c r="C122" s="89"/>
      <c r="D122" s="90"/>
      <c r="E122" s="89"/>
      <c r="F122" s="34"/>
    </row>
    <row r="123" spans="1:6" ht="18.75" x14ac:dyDescent="0.3">
      <c r="A123" s="78" t="s">
        <v>70</v>
      </c>
      <c r="B123" s="83"/>
      <c r="C123" s="91">
        <f>C114-C105</f>
        <v>15839.536793478237</v>
      </c>
      <c r="D123" s="92">
        <f t="shared" ref="D123:E123" si="3">D114-D105</f>
        <v>10856.401385869547</v>
      </c>
      <c r="E123" s="91">
        <f t="shared" si="3"/>
        <v>9404.2214999999851</v>
      </c>
      <c r="F123" s="86">
        <f>SUM(C123:E123)</f>
        <v>36100.159679347766</v>
      </c>
    </row>
  </sheetData>
  <mergeCells count="34">
    <mergeCell ref="A26:B26"/>
    <mergeCell ref="A1:H4"/>
    <mergeCell ref="A8:B9"/>
    <mergeCell ref="A10:B10"/>
    <mergeCell ref="A12:B12"/>
    <mergeCell ref="A15:B16"/>
    <mergeCell ref="A17:B17"/>
    <mergeCell ref="A18:B18"/>
    <mergeCell ref="A19:B19"/>
    <mergeCell ref="A22:B23"/>
    <mergeCell ref="A24:B24"/>
    <mergeCell ref="A25:B25"/>
    <mergeCell ref="A53:B54"/>
    <mergeCell ref="A35:B36"/>
    <mergeCell ref="A37:B37"/>
    <mergeCell ref="A39:B39"/>
    <mergeCell ref="P39:R39"/>
    <mergeCell ref="P40:R40"/>
    <mergeCell ref="A41:B41"/>
    <mergeCell ref="A44:B45"/>
    <mergeCell ref="A46:B46"/>
    <mergeCell ref="A47:B47"/>
    <mergeCell ref="A48:B48"/>
    <mergeCell ref="A50:B50"/>
    <mergeCell ref="A89:F91"/>
    <mergeCell ref="A98:F100"/>
    <mergeCell ref="A107:F109"/>
    <mergeCell ref="A116:F118"/>
    <mergeCell ref="A55:B55"/>
    <mergeCell ref="A56:B56"/>
    <mergeCell ref="A57:B57"/>
    <mergeCell ref="A59:B59"/>
    <mergeCell ref="A71:F73"/>
    <mergeCell ref="A80:F82"/>
  </mergeCells>
  <pageMargins left="0.98425196850393704" right="0.94488188976377963" top="1.1811023622047245" bottom="0.78740157480314965" header="0.59055118110236227" footer="0.39370078740157483"/>
  <pageSetup paperSize="9" orientation="portrait" r:id="rId1"/>
  <headerFooter scaleWithDoc="0">
    <oddHeader>&amp;L&amp;K03+000 &amp;C&amp;K03+000  &amp;R&amp;K03+000&amp;P / &amp;N</oddHeader>
    <oddFooter>&amp;L&amp;8&amp;K03+000 &amp;C&amp;8&amp;K03+000 &amp;R&amp;8&amp;K03+000&amp;D
&amp;F / 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123"/>
  <sheetViews>
    <sheetView topLeftCell="A16" zoomScale="90" zoomScaleNormal="90" workbookViewId="0">
      <selection activeCell="A37" sqref="A37:B37"/>
    </sheetView>
  </sheetViews>
  <sheetFormatPr baseColWidth="10" defaultColWidth="10.7109375" defaultRowHeight="12.75" x14ac:dyDescent="0.25"/>
  <cols>
    <col min="1" max="1" width="23" style="55" customWidth="1"/>
    <col min="2" max="2" width="11.42578125" style="55" customWidth="1"/>
    <col min="3" max="3" width="32.7109375" style="55" customWidth="1"/>
    <col min="4" max="4" width="33.7109375" style="55" customWidth="1"/>
    <col min="5" max="5" width="31.140625" style="55" customWidth="1"/>
    <col min="6" max="6" width="33.140625" style="55" customWidth="1"/>
    <col min="7" max="8" width="30.42578125" style="55" customWidth="1"/>
    <col min="9" max="9" width="12.28515625" style="122" customWidth="1"/>
    <col min="10" max="10" width="28.140625" style="55" bestFit="1" customWidth="1"/>
    <col min="11" max="11" width="10.7109375" style="55" customWidth="1"/>
    <col min="12" max="12" width="10.7109375" style="55"/>
    <col min="13" max="13" width="14.42578125" style="55" bestFit="1" customWidth="1"/>
    <col min="14" max="14" width="10.7109375" style="55"/>
    <col min="15" max="15" width="14.85546875" style="55" bestFit="1" customWidth="1"/>
    <col min="16" max="18" width="10.7109375" style="55"/>
    <col min="19" max="19" width="14.42578125" style="55" bestFit="1" customWidth="1"/>
    <col min="20" max="16384" width="10.7109375" style="55"/>
  </cols>
  <sheetData>
    <row r="1" spans="1:15" ht="12.75" customHeight="1" x14ac:dyDescent="0.25">
      <c r="A1" s="167" t="s">
        <v>83</v>
      </c>
      <c r="B1" s="167"/>
      <c r="C1" s="167"/>
      <c r="D1" s="167"/>
      <c r="E1" s="167"/>
      <c r="F1" s="167"/>
      <c r="G1" s="167"/>
      <c r="H1" s="167"/>
    </row>
    <row r="2" spans="1:15" ht="12.75" customHeight="1" x14ac:dyDescent="0.25">
      <c r="A2" s="167"/>
      <c r="B2" s="167"/>
      <c r="C2" s="167"/>
      <c r="D2" s="167"/>
      <c r="E2" s="167"/>
      <c r="F2" s="167"/>
      <c r="G2" s="167"/>
      <c r="H2" s="167"/>
    </row>
    <row r="3" spans="1:15" ht="12.75" customHeight="1" x14ac:dyDescent="0.25">
      <c r="A3" s="167"/>
      <c r="B3" s="167"/>
      <c r="C3" s="167"/>
      <c r="D3" s="167"/>
      <c r="E3" s="167"/>
      <c r="F3" s="167"/>
      <c r="G3" s="167"/>
      <c r="H3" s="167"/>
    </row>
    <row r="4" spans="1:15" ht="12.75" customHeight="1" x14ac:dyDescent="0.25">
      <c r="A4" s="167"/>
      <c r="B4" s="167"/>
      <c r="C4" s="167"/>
      <c r="D4" s="167"/>
      <c r="E4" s="167"/>
      <c r="F4" s="167"/>
      <c r="G4" s="167"/>
      <c r="H4" s="167"/>
    </row>
    <row r="5" spans="1:15" ht="15" x14ac:dyDescent="0.25">
      <c r="A5"/>
      <c r="B5"/>
      <c r="C5"/>
      <c r="D5"/>
      <c r="E5"/>
      <c r="F5"/>
    </row>
    <row r="6" spans="1:15" ht="15" x14ac:dyDescent="0.25">
      <c r="A6"/>
      <c r="B6"/>
      <c r="C6"/>
      <c r="D6"/>
      <c r="E6"/>
      <c r="F6"/>
    </row>
    <row r="7" spans="1:15" ht="15" x14ac:dyDescent="0.25">
      <c r="A7" s="17"/>
      <c r="B7" s="17"/>
      <c r="C7"/>
      <c r="D7"/>
      <c r="E7"/>
      <c r="F7"/>
    </row>
    <row r="8" spans="1:15" ht="15" x14ac:dyDescent="0.25">
      <c r="A8" s="161" t="s">
        <v>5</v>
      </c>
      <c r="B8" s="162"/>
      <c r="C8" s="18" t="s">
        <v>42</v>
      </c>
      <c r="D8" s="18" t="s">
        <v>43</v>
      </c>
      <c r="E8" s="18" t="s">
        <v>44</v>
      </c>
      <c r="F8" s="18" t="s">
        <v>45</v>
      </c>
      <c r="G8" s="106" t="s">
        <v>46</v>
      </c>
      <c r="H8" s="106" t="s">
        <v>47</v>
      </c>
      <c r="I8" s="46"/>
      <c r="J8"/>
      <c r="K8"/>
      <c r="L8"/>
      <c r="M8"/>
    </row>
    <row r="9" spans="1:15" ht="15" x14ac:dyDescent="0.25">
      <c r="A9" s="163"/>
      <c r="B9" s="164"/>
      <c r="C9" s="19"/>
      <c r="D9" s="19"/>
      <c r="E9" s="19"/>
      <c r="F9" s="20"/>
      <c r="G9" s="131"/>
      <c r="H9" s="131"/>
      <c r="I9" s="47"/>
      <c r="J9"/>
      <c r="K9"/>
      <c r="L9"/>
      <c r="M9"/>
    </row>
    <row r="10" spans="1:15" ht="15" x14ac:dyDescent="0.25">
      <c r="A10" s="155" t="s">
        <v>48</v>
      </c>
      <c r="B10" s="156"/>
      <c r="C10" s="132">
        <f>C11*O15</f>
        <v>66.158695652173904</v>
      </c>
      <c r="D10" s="132">
        <f>D11*O16</f>
        <v>33.110204081632652</v>
      </c>
      <c r="E10" s="132">
        <f>E11*O15</f>
        <v>37.214266304347795</v>
      </c>
      <c r="F10" s="132">
        <f>((C10/16)*8)+((D10/8)*7)</f>
        <v>62.05077639751552</v>
      </c>
      <c r="G10" s="133">
        <f>(E10+F10)*184</f>
        <v>18264.767857142848</v>
      </c>
      <c r="H10" s="133">
        <f>((E10+F10)*365)/100</f>
        <v>362.31740586180109</v>
      </c>
      <c r="I10" s="48"/>
      <c r="J10"/>
      <c r="K10"/>
      <c r="L10"/>
      <c r="M10"/>
    </row>
    <row r="11" spans="1:15" customFormat="1" ht="15" x14ac:dyDescent="0.25">
      <c r="A11" s="23"/>
      <c r="B11" s="23"/>
      <c r="C11" s="134">
        <v>1.0178260869565217</v>
      </c>
      <c r="D11" s="134">
        <v>0.50938775510204082</v>
      </c>
      <c r="E11" s="134">
        <v>0.57252717391304297</v>
      </c>
      <c r="F11" s="134">
        <v>0.95462732919254656</v>
      </c>
      <c r="G11" s="135">
        <f>(E11+F11)*184</f>
        <v>280.99642857142845</v>
      </c>
      <c r="H11" s="135">
        <f>(E11+F11)*365</f>
        <v>557.41139363354023</v>
      </c>
      <c r="I11" s="136"/>
    </row>
    <row r="12" spans="1:15" ht="15" x14ac:dyDescent="0.25">
      <c r="A12" s="155" t="s">
        <v>49</v>
      </c>
      <c r="B12" s="156"/>
      <c r="C12" s="137">
        <f>O15*C13</f>
        <v>0.58367346938775511</v>
      </c>
      <c r="D12" s="137">
        <f>D13*O16</f>
        <v>0.15918367346938775</v>
      </c>
      <c r="E12" s="137">
        <f>E13*O15</f>
        <v>0.32831632653061221</v>
      </c>
      <c r="F12" s="132">
        <f>((C12/16)*8)+((D12/8)*7)</f>
        <v>0.43112244897959184</v>
      </c>
      <c r="G12" s="133">
        <f>(E12+F12)*184</f>
        <v>139.73673469387757</v>
      </c>
      <c r="H12" s="133">
        <f>((E12+F12)*365)/100</f>
        <v>2.7719515306122453</v>
      </c>
      <c r="I12" s="48"/>
      <c r="J12" s="61"/>
      <c r="L12" s="97" t="s">
        <v>50</v>
      </c>
      <c r="M12" s="98"/>
      <c r="N12" s="98"/>
      <c r="O12" s="28" t="s">
        <v>51</v>
      </c>
    </row>
    <row r="13" spans="1:15" ht="15" x14ac:dyDescent="0.25">
      <c r="A13" s="23"/>
      <c r="B13" s="23"/>
      <c r="C13" s="138">
        <v>8.979591836734694E-3</v>
      </c>
      <c r="D13" s="138">
        <v>2.4489795918367346E-3</v>
      </c>
      <c r="E13" s="138">
        <v>5.0510204081632652E-3</v>
      </c>
      <c r="F13" s="134">
        <v>6.6326530612244895E-3</v>
      </c>
      <c r="G13" s="135">
        <f>(E13+F13)*184</f>
        <v>2.1497959183673467</v>
      </c>
      <c r="H13" s="135">
        <f>(E13+F13)*365</f>
        <v>4.2645408163265301</v>
      </c>
      <c r="I13" s="136"/>
      <c r="J13" s="1"/>
      <c r="L13" s="100" t="s">
        <v>84</v>
      </c>
      <c r="M13" s="32"/>
      <c r="N13" s="101"/>
      <c r="O13" s="139"/>
    </row>
    <row r="14" spans="1:15" ht="15" x14ac:dyDescent="0.25">
      <c r="A14"/>
      <c r="B14"/>
      <c r="C14"/>
      <c r="D14"/>
      <c r="E14"/>
      <c r="F14"/>
      <c r="G14"/>
      <c r="H14"/>
      <c r="I14" s="1"/>
      <c r="J14" s="61"/>
      <c r="L14" s="31" t="s">
        <v>52</v>
      </c>
      <c r="M14" s="32"/>
      <c r="N14" s="32"/>
      <c r="O14" s="139"/>
    </row>
    <row r="15" spans="1:15" ht="15" x14ac:dyDescent="0.25">
      <c r="A15" s="161" t="s">
        <v>7</v>
      </c>
      <c r="B15" s="162"/>
      <c r="C15" s="18" t="s">
        <v>42</v>
      </c>
      <c r="D15" s="18" t="s">
        <v>43</v>
      </c>
      <c r="E15" s="18" t="s">
        <v>44</v>
      </c>
      <c r="F15" s="18" t="s">
        <v>45</v>
      </c>
      <c r="G15" s="106" t="s">
        <v>46</v>
      </c>
      <c r="H15" s="106" t="s">
        <v>47</v>
      </c>
      <c r="I15" s="46"/>
      <c r="J15" s="1"/>
      <c r="L15" s="31" t="s">
        <v>53</v>
      </c>
      <c r="M15" s="32"/>
      <c r="N15" s="32"/>
      <c r="O15" s="35">
        <v>65</v>
      </c>
    </row>
    <row r="16" spans="1:15" ht="15" x14ac:dyDescent="0.25">
      <c r="A16" s="163"/>
      <c r="B16" s="164"/>
      <c r="C16" s="19"/>
      <c r="D16" s="19"/>
      <c r="E16" s="19"/>
      <c r="F16" s="20"/>
      <c r="G16" s="131"/>
      <c r="H16" s="131"/>
      <c r="I16" s="47"/>
      <c r="J16" s="61"/>
      <c r="L16" s="31" t="s">
        <v>54</v>
      </c>
      <c r="M16" s="32"/>
      <c r="N16" s="32"/>
      <c r="O16" s="35">
        <v>65</v>
      </c>
    </row>
    <row r="17" spans="1:15" ht="15" x14ac:dyDescent="0.25">
      <c r="A17" s="155" t="s">
        <v>48</v>
      </c>
      <c r="B17" s="156"/>
      <c r="C17" s="132">
        <f>C18*O15</f>
        <v>20.8</v>
      </c>
      <c r="D17" s="132">
        <f>O16*D18</f>
        <v>10.4</v>
      </c>
      <c r="E17" s="132">
        <f>E18*O15</f>
        <v>11.7</v>
      </c>
      <c r="F17" s="132">
        <f>((C17/16)*8)+((D17/8)*7)</f>
        <v>19.5</v>
      </c>
      <c r="G17" s="133">
        <f>(E17+F17)*184</f>
        <v>5740.8</v>
      </c>
      <c r="H17" s="133">
        <f>((E17+F17)*365)/100</f>
        <v>113.88</v>
      </c>
      <c r="I17" s="48"/>
      <c r="J17" s="61"/>
      <c r="L17" s="36"/>
      <c r="M17" s="37"/>
      <c r="N17" s="37"/>
      <c r="O17" s="140"/>
    </row>
    <row r="18" spans="1:15" ht="15" x14ac:dyDescent="0.25">
      <c r="A18" s="157"/>
      <c r="B18" s="158"/>
      <c r="C18" s="134">
        <v>0.32</v>
      </c>
      <c r="D18" s="134">
        <v>0.16</v>
      </c>
      <c r="E18" s="134">
        <v>0.18</v>
      </c>
      <c r="F18" s="134">
        <v>0.30000000000000004</v>
      </c>
      <c r="G18" s="135">
        <f>(E18+F18)*184</f>
        <v>88.320000000000007</v>
      </c>
      <c r="H18" s="135">
        <f>(E18+F18)*365</f>
        <v>175.20000000000002</v>
      </c>
      <c r="I18" s="136"/>
      <c r="L18" s="23" t="s">
        <v>85</v>
      </c>
      <c r="M18" s="122"/>
      <c r="N18" s="1"/>
      <c r="O18" s="107"/>
    </row>
    <row r="19" spans="1:15" ht="15" x14ac:dyDescent="0.25">
      <c r="A19" s="155" t="s">
        <v>49</v>
      </c>
      <c r="B19" s="156"/>
      <c r="C19" s="137">
        <f>O15*C20</f>
        <v>1.2434782608695651</v>
      </c>
      <c r="D19" s="137">
        <f>D20*O16</f>
        <v>0.63673469387755099</v>
      </c>
      <c r="E19" s="137">
        <f>E20*O15</f>
        <v>0.69945652173913042</v>
      </c>
      <c r="F19" s="132">
        <f>((C19/16)*8)+((D19/8)*7)</f>
        <v>1.1788819875776397</v>
      </c>
      <c r="G19" s="133">
        <f>(E19+F19)*184</f>
        <v>345.6142857142857</v>
      </c>
      <c r="H19" s="133">
        <f>((E19+F19)*365)/100</f>
        <v>6.8559355590062117</v>
      </c>
      <c r="I19" s="48"/>
      <c r="L19" s="107"/>
      <c r="M19" s="1"/>
      <c r="N19" s="122"/>
      <c r="O19" s="107"/>
    </row>
    <row r="20" spans="1:15" ht="15" x14ac:dyDescent="0.25">
      <c r="A20"/>
      <c r="B20"/>
      <c r="C20" s="138">
        <v>1.9130434782608695E-2</v>
      </c>
      <c r="D20" s="138">
        <v>9.7959183673469383E-3</v>
      </c>
      <c r="E20" s="138">
        <v>1.0760869565217391E-2</v>
      </c>
      <c r="F20" s="134">
        <v>1.8136645962732918E-2</v>
      </c>
      <c r="G20" s="135">
        <f>(E20+F20)*184</f>
        <v>5.3171428571428567</v>
      </c>
      <c r="H20" s="135">
        <f>(E20+F20)*365</f>
        <v>10.547593167701862</v>
      </c>
      <c r="I20" s="136"/>
      <c r="K20"/>
      <c r="L20"/>
      <c r="M20" s="41"/>
      <c r="N20" s="61"/>
    </row>
    <row r="21" spans="1:15" ht="15" x14ac:dyDescent="0.25">
      <c r="A21"/>
      <c r="B21"/>
      <c r="C21"/>
      <c r="D21"/>
      <c r="E21"/>
      <c r="F21"/>
      <c r="G21"/>
      <c r="H21"/>
      <c r="I21" s="1"/>
      <c r="J21"/>
      <c r="K21"/>
      <c r="L21"/>
      <c r="M21"/>
    </row>
    <row r="22" spans="1:15" ht="15" x14ac:dyDescent="0.25">
      <c r="A22" s="161" t="s">
        <v>9</v>
      </c>
      <c r="B22" s="162"/>
      <c r="C22" s="18" t="s">
        <v>42</v>
      </c>
      <c r="D22" s="18" t="s">
        <v>43</v>
      </c>
      <c r="E22" s="18" t="s">
        <v>44</v>
      </c>
      <c r="F22" s="18" t="s">
        <v>57</v>
      </c>
      <c r="G22" s="106" t="s">
        <v>46</v>
      </c>
      <c r="H22" s="106" t="s">
        <v>47</v>
      </c>
      <c r="I22" s="46"/>
      <c r="J22"/>
      <c r="K22"/>
      <c r="L22"/>
      <c r="M22"/>
    </row>
    <row r="23" spans="1:15" ht="15" x14ac:dyDescent="0.25">
      <c r="A23" s="163"/>
      <c r="B23" s="164"/>
      <c r="C23" s="19"/>
      <c r="D23" s="19"/>
      <c r="E23" s="19"/>
      <c r="F23" s="20"/>
      <c r="G23" s="131"/>
      <c r="H23" s="131"/>
      <c r="I23" s="47"/>
    </row>
    <row r="24" spans="1:15" ht="15" x14ac:dyDescent="0.25">
      <c r="A24" s="155" t="s">
        <v>48</v>
      </c>
      <c r="B24" s="156"/>
      <c r="C24" s="132">
        <f>C25*O15</f>
        <v>16.871739130434783</v>
      </c>
      <c r="D24" s="132">
        <f>O16*D25</f>
        <v>8.4367346938775505</v>
      </c>
      <c r="E24" s="132">
        <f>E25*O15</f>
        <v>9.4903532608695649</v>
      </c>
      <c r="F24" s="132">
        <f>((C24/16)*8)+((D24/8)*7)</f>
        <v>15.818012422360248</v>
      </c>
      <c r="G24" s="133">
        <f>(E24+F24)*184</f>
        <v>4656.7392857142859</v>
      </c>
      <c r="H24" s="133">
        <f>((E24+F24)*365)/100</f>
        <v>92.375534743788819</v>
      </c>
      <c r="I24" s="48"/>
    </row>
    <row r="25" spans="1:15" ht="15" x14ac:dyDescent="0.25">
      <c r="A25" s="157"/>
      <c r="B25" s="158"/>
      <c r="C25" s="134">
        <v>0.25956521739130434</v>
      </c>
      <c r="D25" s="134">
        <v>0.12979591836734694</v>
      </c>
      <c r="E25" s="134">
        <v>0.14600543478260869</v>
      </c>
      <c r="F25" s="134">
        <v>0.24335403726708074</v>
      </c>
      <c r="G25" s="135">
        <f>(E25+F25)*184</f>
        <v>71.642142857142858</v>
      </c>
      <c r="H25" s="135">
        <f>(E25+F25)*365</f>
        <v>142.11620729813666</v>
      </c>
      <c r="I25" s="136"/>
    </row>
    <row r="26" spans="1:15" ht="15" x14ac:dyDescent="0.25">
      <c r="A26" s="155" t="s">
        <v>49</v>
      </c>
      <c r="B26" s="156"/>
      <c r="C26" s="137">
        <f>C27*O15</f>
        <v>1.4130434782608696</v>
      </c>
      <c r="D26" s="137">
        <f>D27*O16</f>
        <v>0.79591836734693877</v>
      </c>
      <c r="E26" s="137">
        <f>E27*O15</f>
        <v>0.79483695652173902</v>
      </c>
      <c r="F26" s="132">
        <f>((C26/16)*8)+((D26/8)*7)</f>
        <v>1.4029503105590062</v>
      </c>
      <c r="G26" s="133">
        <f>(E26+F26)*184</f>
        <v>404.39285714285711</v>
      </c>
      <c r="H26" s="133">
        <f>((E26+F26)*365)/100</f>
        <v>8.0219235248447198</v>
      </c>
      <c r="I26" s="48"/>
    </row>
    <row r="27" spans="1:15" ht="15" x14ac:dyDescent="0.25">
      <c r="A27"/>
      <c r="B27"/>
      <c r="C27" s="138">
        <v>2.1739130434782608E-2</v>
      </c>
      <c r="D27" s="138">
        <v>1.2244897959183673E-2</v>
      </c>
      <c r="E27" s="138">
        <v>1.2228260869565216E-2</v>
      </c>
      <c r="F27" s="134">
        <v>2.1583850931677018E-2</v>
      </c>
      <c r="G27" s="135">
        <f>(E27+F27)*184</f>
        <v>6.2214285714285706</v>
      </c>
      <c r="H27" s="135">
        <f>(E27+F27)*365</f>
        <v>12.341420807453414</v>
      </c>
      <c r="I27" s="136"/>
    </row>
    <row r="31" spans="1:15" x14ac:dyDescent="0.25">
      <c r="A31" s="103"/>
      <c r="B31" s="103"/>
      <c r="C31" s="103"/>
      <c r="D31" s="103"/>
      <c r="E31" s="103"/>
      <c r="F31" s="103"/>
      <c r="G31" s="103"/>
      <c r="H31" s="103"/>
    </row>
    <row r="35" spans="1:19" ht="15" x14ac:dyDescent="0.25">
      <c r="A35" s="161" t="s">
        <v>5</v>
      </c>
      <c r="B35" s="162"/>
      <c r="C35" s="18" t="s">
        <v>42</v>
      </c>
      <c r="D35" s="18" t="s">
        <v>43</v>
      </c>
      <c r="E35" s="18" t="s">
        <v>44</v>
      </c>
      <c r="F35" s="18" t="s">
        <v>45</v>
      </c>
      <c r="G35" s="106" t="s">
        <v>46</v>
      </c>
      <c r="H35" s="106" t="s">
        <v>47</v>
      </c>
      <c r="I35" s="141"/>
    </row>
    <row r="36" spans="1:19" ht="15" x14ac:dyDescent="0.25">
      <c r="A36" s="163"/>
      <c r="B36" s="164"/>
      <c r="C36" s="19"/>
      <c r="D36" s="19"/>
      <c r="E36" s="19"/>
      <c r="F36" s="20"/>
      <c r="G36" s="131"/>
      <c r="H36" s="131"/>
      <c r="I36" s="141"/>
    </row>
    <row r="37" spans="1:19" ht="15" x14ac:dyDescent="0.25">
      <c r="A37" s="155" t="s">
        <v>48</v>
      </c>
      <c r="B37" s="156"/>
      <c r="C37" s="132">
        <f>C38*S42</f>
        <v>727.74565217391194</v>
      </c>
      <c r="D37" s="132">
        <f>D38*S42</f>
        <v>364.21224489795935</v>
      </c>
      <c r="E37" s="132">
        <f>((C37/16)*9)</f>
        <v>409.35692934782548</v>
      </c>
      <c r="F37" s="132">
        <f>(((C37/16)*8)+((D37/8)*7))</f>
        <v>682.55854037267045</v>
      </c>
      <c r="G37" s="142">
        <f>(((SUM(E37:F37))*158)+((S43*24)*26))/100</f>
        <v>2130.8264421583835</v>
      </c>
      <c r="H37" s="142">
        <f>(((SUM(E37:F37))*313)+(($S$43*24)*52))/100</f>
        <v>4228.8954202251516</v>
      </c>
      <c r="I37" s="141"/>
      <c r="J37" s="50" t="s">
        <v>61</v>
      </c>
      <c r="K37" s="51"/>
      <c r="L37" s="50">
        <v>106</v>
      </c>
      <c r="M37" s="52">
        <v>1</v>
      </c>
    </row>
    <row r="38" spans="1:19" ht="15" x14ac:dyDescent="0.25">
      <c r="A38" s="23"/>
      <c r="B38" s="23"/>
      <c r="C38" s="134">
        <f>1.01782608695652*L38</f>
        <v>11.196086956521722</v>
      </c>
      <c r="D38" s="134">
        <f>0.509387755102041*L38</f>
        <v>5.6032653061224513</v>
      </c>
      <c r="E38" s="134">
        <f>((C38/16)*9)</f>
        <v>6.2977989130434686</v>
      </c>
      <c r="F38" s="134">
        <f>(((C38/16)*8)+((D38/8)*7))</f>
        <v>10.500900621118006</v>
      </c>
      <c r="G38" s="135">
        <f>16.8*184</f>
        <v>3091.2000000000003</v>
      </c>
      <c r="H38" s="135">
        <f>((E38+F38)*365)</f>
        <v>6131.5253299689384</v>
      </c>
      <c r="I38" s="141"/>
      <c r="J38" s="51" t="s">
        <v>48</v>
      </c>
      <c r="K38" s="51"/>
      <c r="L38" s="51">
        <v>11</v>
      </c>
      <c r="M38" s="53">
        <f>L38*M37/L37</f>
        <v>0.10377358490566038</v>
      </c>
    </row>
    <row r="39" spans="1:19" ht="15" x14ac:dyDescent="0.25">
      <c r="A39" s="155" t="s">
        <v>49</v>
      </c>
      <c r="B39" s="156"/>
      <c r="C39" s="137">
        <f>S42*C40</f>
        <v>52.530612244897938</v>
      </c>
      <c r="D39" s="137">
        <f>D13*L39</f>
        <v>0.2204081632653061</v>
      </c>
      <c r="E39" s="137">
        <f>(($C$10*L39)/16)*9</f>
        <v>3349.2839673913036</v>
      </c>
      <c r="F39" s="132">
        <f>(((C39/16)*8)+((D39/8)*7))</f>
        <v>26.458163265306112</v>
      </c>
      <c r="G39" s="142">
        <f>(((SUM(E39:F39))*158)+((S43*24)*26))/100</f>
        <v>5739.2725664374429</v>
      </c>
      <c r="H39" s="142">
        <f>(((SUM(E39:F39))*313)+(($S$43*24)*52))/100</f>
        <v>11377.27286895519</v>
      </c>
      <c r="I39" s="141"/>
      <c r="J39" s="51" t="s">
        <v>49</v>
      </c>
      <c r="K39" s="51"/>
      <c r="L39" s="51">
        <v>90</v>
      </c>
      <c r="M39" s="53">
        <f>L39*M37/L37</f>
        <v>0.84905660377358494</v>
      </c>
      <c r="O39" s="143"/>
      <c r="P39" s="166" t="s">
        <v>50</v>
      </c>
      <c r="Q39" s="166"/>
      <c r="R39" s="166"/>
      <c r="S39" s="28" t="s">
        <v>51</v>
      </c>
    </row>
    <row r="40" spans="1:19" ht="15" x14ac:dyDescent="0.25">
      <c r="A40" s="23"/>
      <c r="B40" s="23"/>
      <c r="C40" s="138">
        <f>0.00897959183673469*L39</f>
        <v>0.80816326530612215</v>
      </c>
      <c r="D40" s="138">
        <v>0.02</v>
      </c>
      <c r="E40" s="144">
        <f>(($C$11*L39)/16)*9</f>
        <v>51.52744565217391</v>
      </c>
      <c r="F40" s="134">
        <v>0.42079591836734681</v>
      </c>
      <c r="G40" s="135">
        <v>9558.8000000000011</v>
      </c>
      <c r="H40" s="135">
        <f>((E40+F40)*365)</f>
        <v>18961.108173247558</v>
      </c>
      <c r="I40" s="141"/>
      <c r="J40" s="51" t="s">
        <v>62</v>
      </c>
      <c r="K40" s="51"/>
      <c r="L40" s="51">
        <v>5</v>
      </c>
      <c r="M40" s="53">
        <f>L40*M37/L37</f>
        <v>4.716981132075472E-2</v>
      </c>
      <c r="O40" s="143"/>
      <c r="P40" s="101" t="s">
        <v>84</v>
      </c>
      <c r="Q40" s="101"/>
      <c r="R40" s="101"/>
      <c r="S40" s="33"/>
    </row>
    <row r="41" spans="1:19" ht="15" x14ac:dyDescent="0.25">
      <c r="A41" s="159" t="s">
        <v>62</v>
      </c>
      <c r="B41" s="160"/>
      <c r="C41" s="145">
        <v>0</v>
      </c>
      <c r="D41" s="145">
        <v>0</v>
      </c>
      <c r="E41" s="145">
        <v>0</v>
      </c>
      <c r="F41" s="132">
        <v>0</v>
      </c>
      <c r="G41" s="142">
        <v>0</v>
      </c>
      <c r="H41" s="142">
        <v>0</v>
      </c>
      <c r="I41" s="141"/>
      <c r="J41" s="51"/>
      <c r="K41" s="51"/>
      <c r="L41" s="51"/>
      <c r="M41" s="51"/>
      <c r="O41" s="143"/>
      <c r="P41" s="32" t="s">
        <v>52</v>
      </c>
      <c r="Q41" s="32"/>
      <c r="R41" s="32"/>
      <c r="S41" s="33"/>
    </row>
    <row r="42" spans="1:19" ht="15" x14ac:dyDescent="0.25">
      <c r="A42" s="23"/>
      <c r="B42" s="23"/>
      <c r="C42" s="138">
        <v>0</v>
      </c>
      <c r="D42" s="138">
        <v>0</v>
      </c>
      <c r="E42" s="138">
        <f>(($C$11*L40)/16)*9</f>
        <v>2.8626358695652172</v>
      </c>
      <c r="F42" s="134">
        <f>((((C42/16)*8)+((D42/8)*7))*L42)</f>
        <v>0</v>
      </c>
      <c r="G42" s="135">
        <f>E42*184</f>
        <v>526.72499999999991</v>
      </c>
      <c r="H42" s="135">
        <f>E42*365</f>
        <v>1044.8620923913043</v>
      </c>
      <c r="I42" s="141"/>
      <c r="O42" s="143"/>
      <c r="P42" s="32" t="s">
        <v>53</v>
      </c>
      <c r="Q42" s="32"/>
      <c r="R42" s="32"/>
      <c r="S42" s="35">
        <v>65</v>
      </c>
    </row>
    <row r="43" spans="1:19" ht="15" x14ac:dyDescent="0.25">
      <c r="A43"/>
      <c r="B43"/>
      <c r="C43"/>
      <c r="D43"/>
      <c r="E43"/>
      <c r="F43"/>
      <c r="G43"/>
      <c r="H43"/>
      <c r="M43"/>
      <c r="O43" s="143"/>
      <c r="P43" s="32" t="s">
        <v>54</v>
      </c>
      <c r="Q43" s="32"/>
      <c r="R43" s="34"/>
      <c r="S43" s="35">
        <v>65</v>
      </c>
    </row>
    <row r="44" spans="1:19" ht="15" x14ac:dyDescent="0.25">
      <c r="A44" s="161" t="s">
        <v>7</v>
      </c>
      <c r="B44" s="162"/>
      <c r="C44" s="18" t="s">
        <v>42</v>
      </c>
      <c r="D44" s="18" t="s">
        <v>43</v>
      </c>
      <c r="E44" s="18" t="s">
        <v>44</v>
      </c>
      <c r="F44" s="18" t="s">
        <v>45</v>
      </c>
      <c r="G44" s="106" t="s">
        <v>46</v>
      </c>
      <c r="H44" s="106" t="s">
        <v>47</v>
      </c>
      <c r="I44" s="141"/>
      <c r="M44"/>
      <c r="O44" s="143"/>
      <c r="P44" s="36"/>
      <c r="Q44" s="37"/>
      <c r="R44" s="37"/>
      <c r="S44" s="38"/>
    </row>
    <row r="45" spans="1:19" ht="15" x14ac:dyDescent="0.25">
      <c r="A45" s="163"/>
      <c r="B45" s="164"/>
      <c r="C45" s="19"/>
      <c r="D45" s="19"/>
      <c r="E45" s="19"/>
      <c r="F45" s="20"/>
      <c r="G45" s="131"/>
      <c r="H45" s="131"/>
      <c r="I45" s="141"/>
      <c r="J45"/>
      <c r="K45"/>
      <c r="L45"/>
      <c r="M45"/>
      <c r="O45" s="107"/>
      <c r="P45" t="s">
        <v>85</v>
      </c>
    </row>
    <row r="46" spans="1:19" ht="15" x14ac:dyDescent="0.25">
      <c r="A46" s="155" t="s">
        <v>48</v>
      </c>
      <c r="B46" s="156"/>
      <c r="C46" s="132">
        <f>C47*S42</f>
        <v>162.24000000000004</v>
      </c>
      <c r="D46" s="132">
        <f>S43*D47</f>
        <v>81.120000000000019</v>
      </c>
      <c r="E46" s="132">
        <f>((C46/16)*9)</f>
        <v>91.260000000000019</v>
      </c>
      <c r="F46" s="132">
        <f>(((C46/16)*8)+((D46/8)*7))</f>
        <v>152.10000000000002</v>
      </c>
      <c r="G46" s="142">
        <f>(((SUM(E46:F46))*158)+((S43*24)*26))/100</f>
        <v>790.10880000000009</v>
      </c>
      <c r="H46" s="142">
        <f>(((SUM(E46:F46))*313)+(($S$43*24)*52))/100</f>
        <v>1572.9168</v>
      </c>
      <c r="I46" s="141"/>
      <c r="J46" s="50" t="s">
        <v>7</v>
      </c>
      <c r="K46" s="57"/>
      <c r="L46" s="50">
        <v>78</v>
      </c>
      <c r="M46" s="58">
        <v>1</v>
      </c>
      <c r="O46" s="107"/>
      <c r="P46" s="107"/>
    </row>
    <row r="47" spans="1:19" ht="15" x14ac:dyDescent="0.25">
      <c r="A47" s="157"/>
      <c r="B47" s="158"/>
      <c r="C47" s="134">
        <f>0.32*L47</f>
        <v>2.4960000000000004</v>
      </c>
      <c r="D47" s="134">
        <f>0.16*L47</f>
        <v>1.2480000000000002</v>
      </c>
      <c r="E47" s="134">
        <f>((C47/16)*9)</f>
        <v>1.4040000000000004</v>
      </c>
      <c r="F47" s="134">
        <f>(((C47/16)*8)+((D47/8)*7))</f>
        <v>2.3400000000000003</v>
      </c>
      <c r="G47" s="135">
        <f>((E47+F47)*184)</f>
        <v>688.89600000000007</v>
      </c>
      <c r="H47" s="135">
        <f>((E47+F47)*365)</f>
        <v>1366.5600000000002</v>
      </c>
      <c r="I47" s="141"/>
      <c r="J47" s="51" t="s">
        <v>48</v>
      </c>
      <c r="K47" s="51"/>
      <c r="L47" s="59">
        <f>L46/M46*M47</f>
        <v>7.8000000000000007</v>
      </c>
      <c r="M47" s="60">
        <v>0.1</v>
      </c>
      <c r="Q47"/>
      <c r="R47"/>
      <c r="S47"/>
    </row>
    <row r="48" spans="1:19" ht="15" x14ac:dyDescent="0.25">
      <c r="A48" s="155" t="s">
        <v>49</v>
      </c>
      <c r="B48" s="156"/>
      <c r="C48" s="137">
        <f>S42*C49</f>
        <v>82.442608695652183</v>
      </c>
      <c r="D48" s="137">
        <f>D49*S43</f>
        <v>42.215510204081639</v>
      </c>
      <c r="E48" s="137">
        <f>(($C$10*L48)/16)*9</f>
        <v>2467.3058559782603</v>
      </c>
      <c r="F48" s="132">
        <f>(((C48/16)*8)+((D48/8)*7))</f>
        <v>78.159875776397527</v>
      </c>
      <c r="G48" s="142">
        <f>(((SUM(E48:F48))*158)+(($S$43*24)*26))/100</f>
        <v>4427.4358561723602</v>
      </c>
      <c r="H48" s="142">
        <f>(((SUM(E48:F48))*313)+(($S$43*24)*52))/100</f>
        <v>8778.5077403920804</v>
      </c>
      <c r="I48" s="141"/>
      <c r="J48" s="51" t="s">
        <v>49</v>
      </c>
      <c r="K48" s="51"/>
      <c r="L48" s="59">
        <f>L46/M46*M48</f>
        <v>66.3</v>
      </c>
      <c r="M48" s="60">
        <v>0.85</v>
      </c>
    </row>
    <row r="49" spans="1:13" ht="15" x14ac:dyDescent="0.25">
      <c r="A49"/>
      <c r="B49"/>
      <c r="C49" s="138">
        <f>0.0191304347826087*L48</f>
        <v>1.2683478260869567</v>
      </c>
      <c r="D49" s="138">
        <f>0.00979591836734694*L48</f>
        <v>0.6494693877551021</v>
      </c>
      <c r="E49" s="138">
        <f>(($C$11*L48)/16)*9</f>
        <v>37.958551630434776</v>
      </c>
      <c r="F49" s="134">
        <f>(((C49/16)*8)+((D49/8)*7))</f>
        <v>1.2024596273291928</v>
      </c>
      <c r="G49" s="135">
        <f>((E49+F49)*184)</f>
        <v>7205.62607142857</v>
      </c>
      <c r="H49" s="135">
        <f>((E49+F49)*365)</f>
        <v>14293.769109083847</v>
      </c>
      <c r="I49" s="141"/>
      <c r="J49" s="51" t="s">
        <v>62</v>
      </c>
      <c r="K49" s="51"/>
      <c r="L49" s="59">
        <f>L46/M46*M49</f>
        <v>3.9000000000000004</v>
      </c>
      <c r="M49" s="60">
        <v>0.05</v>
      </c>
    </row>
    <row r="50" spans="1:13" ht="15" x14ac:dyDescent="0.25">
      <c r="A50" s="159" t="s">
        <v>62</v>
      </c>
      <c r="B50" s="160"/>
      <c r="C50" s="145">
        <v>0</v>
      </c>
      <c r="D50" s="145">
        <v>0</v>
      </c>
      <c r="E50" s="145">
        <v>0</v>
      </c>
      <c r="F50" s="132">
        <v>0</v>
      </c>
      <c r="G50" s="142">
        <f>(((SUM(E50:F50))*157)+((S58*24)*26))/100</f>
        <v>0</v>
      </c>
      <c r="H50" s="142">
        <v>0</v>
      </c>
      <c r="I50" s="141"/>
      <c r="J50" s="51"/>
      <c r="K50" s="51"/>
      <c r="L50" s="51"/>
      <c r="M50" s="51"/>
    </row>
    <row r="51" spans="1:13" ht="15" x14ac:dyDescent="0.25">
      <c r="A51" s="23"/>
      <c r="B51" s="23"/>
      <c r="C51" s="138">
        <v>0</v>
      </c>
      <c r="D51" s="138">
        <v>0</v>
      </c>
      <c r="E51" s="138">
        <f>(($C$11*L49)/16)*9</f>
        <v>2.2328559782608695</v>
      </c>
      <c r="F51" s="134">
        <f>((((C51/16)*8)+((D51/8)*7))*L51)</f>
        <v>0</v>
      </c>
      <c r="G51" s="135">
        <f>E51*184</f>
        <v>410.84549999999996</v>
      </c>
      <c r="H51" s="135">
        <f>E51*365</f>
        <v>814.99243206521737</v>
      </c>
      <c r="I51" s="141"/>
      <c r="J51" s="61"/>
      <c r="K51" s="61"/>
      <c r="L51" s="61"/>
      <c r="M51" s="61"/>
    </row>
    <row r="52" spans="1:13" ht="15" x14ac:dyDescent="0.25">
      <c r="A52"/>
      <c r="B52"/>
      <c r="C52"/>
      <c r="D52"/>
      <c r="E52"/>
      <c r="F52"/>
      <c r="G52"/>
      <c r="H52"/>
      <c r="J52" s="61"/>
      <c r="K52" s="61"/>
      <c r="L52" s="61"/>
      <c r="M52"/>
    </row>
    <row r="53" spans="1:13" ht="15" x14ac:dyDescent="0.25">
      <c r="A53" s="161" t="s">
        <v>9</v>
      </c>
      <c r="B53" s="162"/>
      <c r="C53" s="18" t="s">
        <v>42</v>
      </c>
      <c r="D53" s="18" t="s">
        <v>43</v>
      </c>
      <c r="E53" s="18" t="s">
        <v>44</v>
      </c>
      <c r="F53" s="18" t="s">
        <v>57</v>
      </c>
      <c r="G53" s="106" t="s">
        <v>46</v>
      </c>
      <c r="H53" s="106" t="s">
        <v>47</v>
      </c>
      <c r="I53" s="141"/>
      <c r="J53" s="61"/>
      <c r="K53" s="61"/>
      <c r="L53" s="61"/>
      <c r="M53"/>
    </row>
    <row r="54" spans="1:13" ht="15" x14ac:dyDescent="0.25">
      <c r="A54" s="163"/>
      <c r="B54" s="164"/>
      <c r="C54" s="19"/>
      <c r="D54" s="19"/>
      <c r="E54" s="19"/>
      <c r="F54" s="20"/>
      <c r="G54" s="131"/>
      <c r="H54" s="131"/>
      <c r="I54" s="141"/>
      <c r="J54"/>
      <c r="K54"/>
      <c r="L54"/>
      <c r="M54"/>
    </row>
    <row r="55" spans="1:13" ht="15" x14ac:dyDescent="0.25">
      <c r="A55" s="155" t="s">
        <v>48</v>
      </c>
      <c r="B55" s="156"/>
      <c r="C55" s="132">
        <f>C56*S42</f>
        <v>114.72782608695638</v>
      </c>
      <c r="D55" s="132">
        <f>S43*D56</f>
        <v>57.369795918367373</v>
      </c>
      <c r="E55" s="132">
        <f>((C55/16)*9)</f>
        <v>64.534402173912966</v>
      </c>
      <c r="F55" s="132">
        <f>(((C55/16)*8)+((D55/8)*7))</f>
        <v>107.56248447204965</v>
      </c>
      <c r="G55" s="142">
        <f>(((SUM(E55:F55))*158)+((S43*24)*26))/100</f>
        <v>677.51308090062093</v>
      </c>
      <c r="H55" s="142">
        <f>(((SUM(E55:F55))*313)+(($S$43*24)*52))/100</f>
        <v>1349.863255201863</v>
      </c>
      <c r="I55" s="141"/>
      <c r="J55" s="50" t="s">
        <v>9</v>
      </c>
      <c r="K55" s="57"/>
      <c r="L55" s="50">
        <v>68</v>
      </c>
      <c r="M55" s="58">
        <v>1</v>
      </c>
    </row>
    <row r="56" spans="1:13" ht="15" x14ac:dyDescent="0.25">
      <c r="A56" s="157"/>
      <c r="B56" s="158"/>
      <c r="C56" s="134">
        <f>0.259565217391304*L56</f>
        <v>1.7650434782608675</v>
      </c>
      <c r="D56" s="134">
        <f>0.129795918367347*L56</f>
        <v>0.88261224489795964</v>
      </c>
      <c r="E56" s="134">
        <f>((C56/16)*9)</f>
        <v>0.99283695652173798</v>
      </c>
      <c r="F56" s="134">
        <f>(((C56/16)*8)+((D56/8)*7))</f>
        <v>1.6548074534161485</v>
      </c>
      <c r="G56" s="135">
        <f>((E56+F56)*184)</f>
        <v>487.1665714285711</v>
      </c>
      <c r="H56" s="135">
        <f>((E56+F56)*365)</f>
        <v>966.39020962732855</v>
      </c>
      <c r="I56" s="141"/>
      <c r="J56" s="51" t="s">
        <v>48</v>
      </c>
      <c r="K56" s="51"/>
      <c r="L56" s="59">
        <f>L55/M55*M56</f>
        <v>6.8000000000000007</v>
      </c>
      <c r="M56" s="60">
        <v>0.1</v>
      </c>
    </row>
    <row r="57" spans="1:13" ht="15" x14ac:dyDescent="0.25">
      <c r="A57" s="155" t="s">
        <v>49</v>
      </c>
      <c r="B57" s="156"/>
      <c r="C57" s="137">
        <f>C58*S42</f>
        <v>81.673913043478223</v>
      </c>
      <c r="D57" s="137">
        <f>D58*S43</f>
        <v>46.004081632653161</v>
      </c>
      <c r="E57" s="137">
        <f>(($C$10*L57)/16)*9</f>
        <v>2150.984592391304</v>
      </c>
      <c r="F57" s="132">
        <f>(((C57/16)*8)+((D57/8)*7))</f>
        <v>81.09052795031063</v>
      </c>
      <c r="G57" s="142">
        <f>(((SUM(E57:F57))*158)+((S43*24)*26))/100</f>
        <v>3932.2786901397512</v>
      </c>
      <c r="H57" s="142">
        <f>(((SUM(E57:F57))*313)+(($S$43*24)*52))/100</f>
        <v>7797.5951266692546</v>
      </c>
      <c r="I57" s="141"/>
      <c r="J57" s="51" t="s">
        <v>49</v>
      </c>
      <c r="K57" s="51"/>
      <c r="L57" s="59">
        <f>L55/M55*M57</f>
        <v>57.8</v>
      </c>
      <c r="M57" s="60">
        <v>0.85</v>
      </c>
    </row>
    <row r="58" spans="1:13" ht="15" x14ac:dyDescent="0.25">
      <c r="A58"/>
      <c r="B58"/>
      <c r="C58" s="138">
        <f>0.0217391304347826*L57</f>
        <v>1.2565217391304342</v>
      </c>
      <c r="D58" s="138">
        <f>0.0122448979591837*L57</f>
        <v>0.70775510204081782</v>
      </c>
      <c r="E58" s="138">
        <f>(($C$11*L57)/16)*9</f>
        <v>33.092070652173909</v>
      </c>
      <c r="F58" s="134">
        <f>(((C58/16)*8)+((D58/8)*7))</f>
        <v>1.2475465838509328</v>
      </c>
      <c r="G58" s="135">
        <f>((E58+F58)*184)</f>
        <v>6318.4895714285713</v>
      </c>
      <c r="H58" s="135">
        <f>((E58+F58)*365)</f>
        <v>12533.960291149067</v>
      </c>
      <c r="I58" s="141"/>
      <c r="J58" s="51" t="s">
        <v>62</v>
      </c>
      <c r="K58" s="51"/>
      <c r="L58" s="59">
        <f>L55/M55*M58</f>
        <v>3.4000000000000004</v>
      </c>
      <c r="M58" s="60">
        <v>0.05</v>
      </c>
    </row>
    <row r="59" spans="1:13" ht="15" x14ac:dyDescent="0.25">
      <c r="A59" s="159" t="s">
        <v>62</v>
      </c>
      <c r="B59" s="160"/>
      <c r="C59" s="145">
        <v>0</v>
      </c>
      <c r="D59" s="145">
        <v>0</v>
      </c>
      <c r="E59" s="145">
        <v>0</v>
      </c>
      <c r="F59" s="132">
        <v>0</v>
      </c>
      <c r="G59" s="142">
        <f>(((SUM(E59:F59))*158)+((S67*24)*26))/100</f>
        <v>0</v>
      </c>
      <c r="H59" s="142">
        <v>0</v>
      </c>
      <c r="I59" s="141"/>
      <c r="J59" s="51"/>
      <c r="K59" s="51"/>
      <c r="L59" s="51"/>
      <c r="M59" s="51"/>
    </row>
    <row r="60" spans="1:13" ht="15" x14ac:dyDescent="0.25">
      <c r="A60" s="23"/>
      <c r="B60" s="23"/>
      <c r="C60" s="138">
        <v>0</v>
      </c>
      <c r="D60" s="138">
        <v>0</v>
      </c>
      <c r="E60" s="138">
        <f>(($C$11*L58)/16)*9</f>
        <v>1.9465923913043479</v>
      </c>
      <c r="F60" s="134">
        <f>((((C60/16)*8)+((D60/8)*7))*L58)</f>
        <v>0</v>
      </c>
      <c r="G60" s="135">
        <f>E60*184</f>
        <v>358.173</v>
      </c>
      <c r="H60" s="135">
        <f>E60*365</f>
        <v>710.50622282608697</v>
      </c>
      <c r="I60" s="141"/>
    </row>
    <row r="64" spans="1:13" ht="15.75" x14ac:dyDescent="0.25">
      <c r="A64"/>
      <c r="B64"/>
      <c r="C64" s="64"/>
      <c r="D64" s="64"/>
      <c r="E64" s="64"/>
      <c r="F64" s="64"/>
    </row>
    <row r="65" spans="1:6" ht="15" x14ac:dyDescent="0.25">
      <c r="A65"/>
      <c r="B65"/>
      <c r="C65" s="65"/>
      <c r="D65" s="65"/>
      <c r="E65" s="65"/>
      <c r="F65" s="65"/>
    </row>
    <row r="66" spans="1:6" ht="18.75" x14ac:dyDescent="0.3">
      <c r="A66" s="66"/>
      <c r="B66"/>
      <c r="C66" s="67"/>
      <c r="D66" s="67"/>
      <c r="E66" s="67"/>
      <c r="F66" s="146"/>
    </row>
    <row r="68" spans="1:6" ht="18.75" x14ac:dyDescent="0.3">
      <c r="A68" s="66"/>
      <c r="C68" s="69"/>
      <c r="D68" s="69"/>
      <c r="E68" s="69"/>
      <c r="F68" s="147"/>
    </row>
    <row r="70" spans="1:6" ht="15" x14ac:dyDescent="0.25">
      <c r="A70" s="72"/>
      <c r="B70" s="72"/>
      <c r="C70" s="72"/>
      <c r="D70" s="72"/>
      <c r="E70" s="72"/>
      <c r="F70" s="72"/>
    </row>
    <row r="71" spans="1:6" ht="12.75" customHeight="1" x14ac:dyDescent="0.25">
      <c r="A71" s="154" t="s">
        <v>63</v>
      </c>
      <c r="B71" s="154"/>
      <c r="C71" s="154"/>
      <c r="D71" s="154"/>
      <c r="E71" s="154"/>
      <c r="F71" s="154"/>
    </row>
    <row r="72" spans="1:6" ht="12.75" customHeight="1" x14ac:dyDescent="0.25">
      <c r="A72" s="154"/>
      <c r="B72" s="154"/>
      <c r="C72" s="154"/>
      <c r="D72" s="154"/>
      <c r="E72" s="154"/>
      <c r="F72" s="154"/>
    </row>
    <row r="73" spans="1:6" ht="12.75" customHeight="1" x14ac:dyDescent="0.25">
      <c r="A73" s="154"/>
      <c r="B73" s="154"/>
      <c r="C73" s="154"/>
      <c r="D73" s="154"/>
      <c r="E73" s="154"/>
      <c r="F73" s="154"/>
    </row>
    <row r="74" spans="1:6" ht="15.75" x14ac:dyDescent="0.25">
      <c r="A74" s="73"/>
      <c r="B74" s="73"/>
      <c r="C74" s="74" t="s">
        <v>5</v>
      </c>
      <c r="D74" s="75" t="s">
        <v>7</v>
      </c>
      <c r="E74" s="74" t="s">
        <v>9</v>
      </c>
      <c r="F74" s="75" t="s">
        <v>64</v>
      </c>
    </row>
    <row r="75" spans="1:6" ht="15" x14ac:dyDescent="0.25">
      <c r="A75" s="73"/>
      <c r="B75" s="73"/>
      <c r="C75" s="76" t="s">
        <v>65</v>
      </c>
      <c r="D75" s="77" t="s">
        <v>66</v>
      </c>
      <c r="E75" s="76" t="s">
        <v>67</v>
      </c>
      <c r="F75" s="77" t="s">
        <v>68</v>
      </c>
    </row>
    <row r="76" spans="1:6" ht="18.75" x14ac:dyDescent="0.3">
      <c r="A76" s="78" t="s">
        <v>69</v>
      </c>
      <c r="B76" s="73"/>
      <c r="C76" s="87">
        <f>(((SUM(F37,F39,F41))*131)+(((S43*8)+(S42*16))*27)+((S43*24)*26))/100</f>
        <v>1755.6118817657493</v>
      </c>
      <c r="D76" s="88">
        <f>(((SUM(F46,F48,F50))*131)+(((S43*8)+(S42*16))*27)+((S43*24)*26))/100</f>
        <v>1128.4404372670808</v>
      </c>
      <c r="E76" s="87">
        <f>(((SUM(F55,F57,F59))*131)+(((S43*8)+(S42*16))*27)+((S43*24)*26))/100</f>
        <v>1073.935446273292</v>
      </c>
      <c r="F76" s="81">
        <f>SUM(C76:E76)</f>
        <v>3957.9877653061221</v>
      </c>
    </row>
    <row r="77" spans="1:6" ht="15" x14ac:dyDescent="0.25">
      <c r="A77" s="73"/>
      <c r="B77" s="73"/>
      <c r="C77" s="89"/>
      <c r="D77" s="90"/>
      <c r="E77" s="89"/>
      <c r="F77" s="34"/>
    </row>
    <row r="78" spans="1:6" ht="18.75" x14ac:dyDescent="0.3">
      <c r="A78" s="78" t="s">
        <v>70</v>
      </c>
      <c r="B78" s="83"/>
      <c r="C78" s="91">
        <f>((SUM(F38,F40,F42))*131)+((SUM(E38:F38,E40:F40,E42:F42))*53)</f>
        <v>5226.0498263087829</v>
      </c>
      <c r="D78" s="92">
        <f>((SUM(F47,F49,F51))*131)+((SUM(E47:F47,E49:F49,E51:F51))*53)</f>
        <v>2856.369174689441</v>
      </c>
      <c r="E78" s="91">
        <f>((SUM(F56,F58,F60))*131)+((SUM(E56:F56,E58:F58,E60:F60))*53)</f>
        <v>2443.702642857143</v>
      </c>
      <c r="F78" s="86">
        <f>SUM(C78:E78)</f>
        <v>10526.121643855367</v>
      </c>
    </row>
    <row r="79" spans="1:6" ht="15" x14ac:dyDescent="0.25">
      <c r="A79"/>
      <c r="B79"/>
      <c r="C79"/>
      <c r="D79"/>
      <c r="E79"/>
      <c r="F79"/>
    </row>
    <row r="80" spans="1:6" ht="12.75" customHeight="1" x14ac:dyDescent="0.25">
      <c r="A80" s="154" t="s">
        <v>71</v>
      </c>
      <c r="B80" s="154"/>
      <c r="C80" s="154"/>
      <c r="D80" s="154"/>
      <c r="E80" s="154"/>
      <c r="F80" s="154"/>
    </row>
    <row r="81" spans="1:6" ht="12.75" customHeight="1" x14ac:dyDescent="0.25">
      <c r="A81" s="154"/>
      <c r="B81" s="154"/>
      <c r="C81" s="154"/>
      <c r="D81" s="154"/>
      <c r="E81" s="154"/>
      <c r="F81" s="154"/>
    </row>
    <row r="82" spans="1:6" ht="12.75" customHeight="1" x14ac:dyDescent="0.25">
      <c r="A82" s="154"/>
      <c r="B82" s="154"/>
      <c r="C82" s="154"/>
      <c r="D82" s="154"/>
      <c r="E82" s="154"/>
      <c r="F82" s="154"/>
    </row>
    <row r="83" spans="1:6" ht="15.75" x14ac:dyDescent="0.25">
      <c r="A83" s="73"/>
      <c r="B83" s="73"/>
      <c r="C83" s="74" t="s">
        <v>5</v>
      </c>
      <c r="D83" s="75" t="s">
        <v>7</v>
      </c>
      <c r="E83" s="74" t="s">
        <v>9</v>
      </c>
      <c r="F83" s="75" t="s">
        <v>64</v>
      </c>
    </row>
    <row r="84" spans="1:6" ht="15" x14ac:dyDescent="0.25">
      <c r="A84" s="73"/>
      <c r="B84" s="73"/>
      <c r="C84" s="76" t="s">
        <v>65</v>
      </c>
      <c r="D84" s="77" t="s">
        <v>66</v>
      </c>
      <c r="E84" s="76" t="s">
        <v>67</v>
      </c>
      <c r="F84" s="77" t="s">
        <v>68</v>
      </c>
    </row>
    <row r="85" spans="1:6" ht="18.75" x14ac:dyDescent="0.3">
      <c r="A85" s="78" t="s">
        <v>69</v>
      </c>
      <c r="B85" s="73"/>
      <c r="C85" s="87">
        <f>(((SUM(E37:F37,E39:F39,E41:F41))*158)+((24*S43)*26))/100</f>
        <v>7464.499008595827</v>
      </c>
      <c r="D85" s="88">
        <f>(((SUM(E46:F46,E48:F48,E50:F50))*158)+((24*S43)*26))/100</f>
        <v>4811.9446561723598</v>
      </c>
      <c r="E85" s="87">
        <f>(((SUM(E55:F55,E57:F57,E59:F59))*158)+((24*S43)*26))/100</f>
        <v>4204.1917710403723</v>
      </c>
      <c r="F85" s="81">
        <f>SUM(C85:E85)</f>
        <v>16480.635435808559</v>
      </c>
    </row>
    <row r="86" spans="1:6" ht="15" x14ac:dyDescent="0.25">
      <c r="A86" s="73"/>
      <c r="B86" s="73"/>
      <c r="C86" s="89"/>
      <c r="D86" s="90"/>
      <c r="E86" s="89"/>
      <c r="F86" s="34"/>
    </row>
    <row r="87" spans="1:6" ht="18.75" x14ac:dyDescent="0.3">
      <c r="A87" s="78" t="s">
        <v>70</v>
      </c>
      <c r="B87" s="83"/>
      <c r="C87" s="91">
        <f>((SUM(E38:F38,E40:F40,E42:F42))*184)</f>
        <v>13176.162163265304</v>
      </c>
      <c r="D87" s="92">
        <f>((SUM(E47:F47,E49:F49,E51:F51))*184)</f>
        <v>8305.367571428571</v>
      </c>
      <c r="E87" s="91">
        <f>((SUM(E56:F56,E58:F58,E60:F60))*184)</f>
        <v>7163.8291428571429</v>
      </c>
      <c r="F87" s="86">
        <f>SUM(C87:E87)</f>
        <v>28645.358877551018</v>
      </c>
    </row>
    <row r="88" spans="1:6" ht="15" x14ac:dyDescent="0.25">
      <c r="A88"/>
      <c r="B88"/>
      <c r="C88"/>
      <c r="D88"/>
      <c r="E88"/>
      <c r="F88"/>
    </row>
    <row r="89" spans="1:6" ht="12.75" customHeight="1" x14ac:dyDescent="0.25">
      <c r="A89" s="154" t="s">
        <v>72</v>
      </c>
      <c r="B89" s="154"/>
      <c r="C89" s="154"/>
      <c r="D89" s="154"/>
      <c r="E89" s="154"/>
      <c r="F89" s="154"/>
    </row>
    <row r="90" spans="1:6" ht="12.75" customHeight="1" x14ac:dyDescent="0.25">
      <c r="A90" s="154"/>
      <c r="B90" s="154"/>
      <c r="C90" s="154"/>
      <c r="D90" s="154"/>
      <c r="E90" s="154"/>
      <c r="F90" s="154"/>
    </row>
    <row r="91" spans="1:6" ht="12.75" customHeight="1" x14ac:dyDescent="0.25">
      <c r="A91" s="154"/>
      <c r="B91" s="154"/>
      <c r="C91" s="154"/>
      <c r="D91" s="154"/>
      <c r="E91" s="154"/>
      <c r="F91" s="154"/>
    </row>
    <row r="92" spans="1:6" ht="15.75" x14ac:dyDescent="0.25">
      <c r="A92" s="73"/>
      <c r="B92" s="73"/>
      <c r="C92" s="74" t="s">
        <v>5</v>
      </c>
      <c r="D92" s="75" t="s">
        <v>7</v>
      </c>
      <c r="E92" s="74" t="s">
        <v>9</v>
      </c>
      <c r="F92" s="75" t="s">
        <v>64</v>
      </c>
    </row>
    <row r="93" spans="1:6" ht="15" x14ac:dyDescent="0.25">
      <c r="A93" s="73"/>
      <c r="B93" s="73"/>
      <c r="C93" s="76" t="s">
        <v>65</v>
      </c>
      <c r="D93" s="77" t="s">
        <v>66</v>
      </c>
      <c r="E93" s="76" t="s">
        <v>67</v>
      </c>
      <c r="F93" s="77" t="s">
        <v>68</v>
      </c>
    </row>
    <row r="94" spans="1:6" ht="18.75" x14ac:dyDescent="0.3">
      <c r="A94" s="78" t="s">
        <v>69</v>
      </c>
      <c r="B94" s="73"/>
      <c r="C94" s="87">
        <f>C85-C76</f>
        <v>5708.8871268300772</v>
      </c>
      <c r="D94" s="88">
        <f t="shared" ref="D94:E94" si="0">D85-D76</f>
        <v>3683.5042189052792</v>
      </c>
      <c r="E94" s="87">
        <f t="shared" si="0"/>
        <v>3130.2563247670805</v>
      </c>
      <c r="F94" s="81">
        <f>SUM(C94:E94)</f>
        <v>12522.647670502436</v>
      </c>
    </row>
    <row r="95" spans="1:6" ht="15" x14ac:dyDescent="0.25">
      <c r="A95" s="73"/>
      <c r="B95" s="73"/>
      <c r="C95" s="89"/>
      <c r="D95" s="90"/>
      <c r="E95" s="89"/>
      <c r="F95" s="34"/>
    </row>
    <row r="96" spans="1:6" ht="18.75" x14ac:dyDescent="0.3">
      <c r="A96" s="78" t="s">
        <v>70</v>
      </c>
      <c r="B96" s="83"/>
      <c r="C96" s="91">
        <f>C87-C78</f>
        <v>7950.1123369565212</v>
      </c>
      <c r="D96" s="92">
        <f t="shared" ref="D96" si="1">D87-D78</f>
        <v>5448.9983967391299</v>
      </c>
      <c r="E96" s="91">
        <f>E87-E78</f>
        <v>4720.1265000000003</v>
      </c>
      <c r="F96" s="86">
        <f>SUM(C96:E96)</f>
        <v>18119.237233695654</v>
      </c>
    </row>
    <row r="97" spans="1:7" ht="15" x14ac:dyDescent="0.25">
      <c r="A97" s="72"/>
      <c r="B97" s="72"/>
      <c r="C97" s="72"/>
      <c r="D97" s="72"/>
      <c r="E97" s="72"/>
      <c r="F97" s="72"/>
    </row>
    <row r="98" spans="1:7" x14ac:dyDescent="0.25">
      <c r="A98" s="154" t="s">
        <v>73</v>
      </c>
      <c r="B98" s="154"/>
      <c r="C98" s="154"/>
      <c r="D98" s="154"/>
      <c r="E98" s="154"/>
      <c r="F98" s="154"/>
    </row>
    <row r="99" spans="1:7" x14ac:dyDescent="0.25">
      <c r="A99" s="154"/>
      <c r="B99" s="154"/>
      <c r="C99" s="154"/>
      <c r="D99" s="154"/>
      <c r="E99" s="154"/>
      <c r="F99" s="154"/>
      <c r="G99" s="55" t="s">
        <v>72</v>
      </c>
    </row>
    <row r="100" spans="1:7" x14ac:dyDescent="0.25">
      <c r="A100" s="154"/>
      <c r="B100" s="154"/>
      <c r="C100" s="154"/>
      <c r="D100" s="154"/>
      <c r="E100" s="154"/>
      <c r="F100" s="154"/>
      <c r="G100" s="55" t="s">
        <v>74</v>
      </c>
    </row>
    <row r="101" spans="1:7" ht="15.75" x14ac:dyDescent="0.25">
      <c r="A101" s="73"/>
      <c r="B101" s="73"/>
      <c r="C101" s="74" t="s">
        <v>5</v>
      </c>
      <c r="D101" s="75" t="s">
        <v>7</v>
      </c>
      <c r="E101" s="74" t="s">
        <v>9</v>
      </c>
      <c r="F101" s="75" t="s">
        <v>64</v>
      </c>
    </row>
    <row r="102" spans="1:7" ht="15" x14ac:dyDescent="0.25">
      <c r="A102" s="73"/>
      <c r="B102" s="73"/>
      <c r="C102" s="76" t="s">
        <v>65</v>
      </c>
      <c r="D102" s="77" t="s">
        <v>66</v>
      </c>
      <c r="E102" s="76" t="s">
        <v>67</v>
      </c>
      <c r="F102" s="77" t="s">
        <v>68</v>
      </c>
    </row>
    <row r="103" spans="1:7" ht="18.75" x14ac:dyDescent="0.3">
      <c r="A103" s="78" t="s">
        <v>69</v>
      </c>
      <c r="B103" s="73"/>
      <c r="C103" s="79">
        <f>(((SUM(F37,F39,F41))*261)+((($S$43*8)+($S$42*16))*52)+(($S$43*24)*52))/100</f>
        <v>3472.9335964951188</v>
      </c>
      <c r="D103" s="80">
        <f>(((SUM(F46,F48,F50))*261)+((($S$43*8)+($S$42*16))*52)+(($S$43*24)*52))/100</f>
        <v>2223.3782757763979</v>
      </c>
      <c r="E103" s="79">
        <f>(((SUM(F55,F57,F59))*261)+((($S$43*8)+($S$42*16))*52)+(($S$43*24)*52))/100</f>
        <v>2114.7843624223601</v>
      </c>
      <c r="F103" s="81">
        <f>SUM(C103:E103)</f>
        <v>7811.0962346938777</v>
      </c>
    </row>
    <row r="104" spans="1:7" ht="15" x14ac:dyDescent="0.25">
      <c r="A104" s="73"/>
      <c r="B104" s="73"/>
      <c r="C104" s="82"/>
      <c r="D104" s="34"/>
      <c r="E104" s="82"/>
      <c r="F104" s="34"/>
    </row>
    <row r="105" spans="1:7" ht="18.75" x14ac:dyDescent="0.3">
      <c r="A105" s="78" t="s">
        <v>70</v>
      </c>
      <c r="B105" s="83"/>
      <c r="C105" s="84">
        <f>((SUM(F38,F40,F42))*261)+((SUM(E38:F38,E40:F40,E42:F42))*104)</f>
        <v>10297.958802129544</v>
      </c>
      <c r="D105" s="85">
        <f>((SUM(F47,F49,F51))*261)+((SUM(E47:F47,E49:F49,E51:F51))*104)</f>
        <v>5618.9201552795021</v>
      </c>
      <c r="E105" s="84">
        <f>((SUM(F56,F58,F60))*261)+((SUM(E56:F56,E58:F58,E60:F60))*104)</f>
        <v>4806.635223602485</v>
      </c>
      <c r="F105" s="86">
        <f>SUM(C105:E105)</f>
        <v>20723.514181011531</v>
      </c>
    </row>
    <row r="106" spans="1:7" ht="15" x14ac:dyDescent="0.25">
      <c r="A106"/>
      <c r="B106"/>
      <c r="C106"/>
      <c r="D106"/>
      <c r="E106"/>
      <c r="F106"/>
    </row>
    <row r="107" spans="1:7" x14ac:dyDescent="0.25">
      <c r="A107" s="154" t="s">
        <v>75</v>
      </c>
      <c r="B107" s="154"/>
      <c r="C107" s="154"/>
      <c r="D107" s="154"/>
      <c r="E107" s="154"/>
      <c r="F107" s="154"/>
    </row>
    <row r="108" spans="1:7" x14ac:dyDescent="0.25">
      <c r="A108" s="154"/>
      <c r="B108" s="154"/>
      <c r="C108" s="154"/>
      <c r="D108" s="154"/>
      <c r="E108" s="154"/>
      <c r="F108" s="154"/>
    </row>
    <row r="109" spans="1:7" x14ac:dyDescent="0.25">
      <c r="A109" s="154"/>
      <c r="B109" s="154"/>
      <c r="C109" s="154"/>
      <c r="D109" s="154"/>
      <c r="E109" s="154"/>
      <c r="F109" s="154"/>
    </row>
    <row r="110" spans="1:7" ht="15.75" x14ac:dyDescent="0.25">
      <c r="A110" s="73"/>
      <c r="B110" s="73"/>
      <c r="C110" s="74" t="s">
        <v>5</v>
      </c>
      <c r="D110" s="75" t="s">
        <v>7</v>
      </c>
      <c r="E110" s="74" t="s">
        <v>9</v>
      </c>
      <c r="F110" s="75" t="s">
        <v>64</v>
      </c>
    </row>
    <row r="111" spans="1:7" ht="15" x14ac:dyDescent="0.25">
      <c r="A111" s="73"/>
      <c r="B111" s="73"/>
      <c r="C111" s="76" t="s">
        <v>65</v>
      </c>
      <c r="D111" s="77" t="s">
        <v>66</v>
      </c>
      <c r="E111" s="76" t="s">
        <v>67</v>
      </c>
      <c r="F111" s="77" t="s">
        <v>68</v>
      </c>
    </row>
    <row r="112" spans="1:7" ht="18.75" x14ac:dyDescent="0.3">
      <c r="A112" s="78" t="s">
        <v>69</v>
      </c>
      <c r="B112" s="73"/>
      <c r="C112" s="79">
        <f>(((SUM(E37:F37,E39:F39,E41:F41))*313)+((24*$S$43)*52))/100</f>
        <v>14794.968289180342</v>
      </c>
      <c r="D112" s="80">
        <f>(((SUM(E46:F46,E48:F48,E50:F50))*313)+((24*$S$43)*52))/100</f>
        <v>9540.2245403920806</v>
      </c>
      <c r="E112" s="79">
        <f>(((SUM(E55:F55,E57:F57,E59:F59))*313)+((24*$S$43)*52))/100</f>
        <v>8336.2583818711173</v>
      </c>
      <c r="F112" s="81">
        <f>SUM(C112:E112)</f>
        <v>32671.451211443538</v>
      </c>
    </row>
    <row r="113" spans="1:6" ht="15" x14ac:dyDescent="0.25">
      <c r="A113" s="73"/>
      <c r="B113" s="73"/>
      <c r="C113" s="82"/>
      <c r="D113" s="34"/>
      <c r="E113" s="79"/>
      <c r="F113" s="34"/>
    </row>
    <row r="114" spans="1:6" ht="18.75" x14ac:dyDescent="0.3">
      <c r="A114" s="78" t="s">
        <v>70</v>
      </c>
      <c r="B114" s="83"/>
      <c r="C114" s="84">
        <f>SUM(E38:F38,E40:F40,E42:F42)*365</f>
        <v>26137.495595607801</v>
      </c>
      <c r="D114" s="85">
        <f>SUM(E47:F47,E49:F49,E51:F51)*365</f>
        <v>16475.321541149067</v>
      </c>
      <c r="E114" s="84">
        <f>SUM(E56:F56,E58:F58,E60:F60)*365</f>
        <v>14210.856723602485</v>
      </c>
      <c r="F114" s="86">
        <f>SUM(C114:E114)</f>
        <v>56823.673860359355</v>
      </c>
    </row>
    <row r="115" spans="1:6" ht="15" x14ac:dyDescent="0.25">
      <c r="A115"/>
      <c r="B115"/>
      <c r="C115"/>
      <c r="D115"/>
      <c r="E115"/>
      <c r="F115"/>
    </row>
    <row r="116" spans="1:6" ht="12.75" customHeight="1" x14ac:dyDescent="0.25">
      <c r="A116" s="154" t="s">
        <v>72</v>
      </c>
      <c r="B116" s="154"/>
      <c r="C116" s="154"/>
      <c r="D116" s="154"/>
      <c r="E116" s="154"/>
      <c r="F116" s="154"/>
    </row>
    <row r="117" spans="1:6" ht="12.75" customHeight="1" x14ac:dyDescent="0.25">
      <c r="A117" s="154"/>
      <c r="B117" s="154"/>
      <c r="C117" s="154"/>
      <c r="D117" s="154"/>
      <c r="E117" s="154"/>
      <c r="F117" s="154"/>
    </row>
    <row r="118" spans="1:6" ht="12.75" customHeight="1" x14ac:dyDescent="0.25">
      <c r="A118" s="154"/>
      <c r="B118" s="154"/>
      <c r="C118" s="154"/>
      <c r="D118" s="154"/>
      <c r="E118" s="154"/>
      <c r="F118" s="154"/>
    </row>
    <row r="119" spans="1:6" ht="15.75" x14ac:dyDescent="0.25">
      <c r="A119" s="73"/>
      <c r="B119" s="73"/>
      <c r="C119" s="74" t="s">
        <v>5</v>
      </c>
      <c r="D119" s="75" t="s">
        <v>7</v>
      </c>
      <c r="E119" s="74" t="s">
        <v>9</v>
      </c>
      <c r="F119" s="75" t="s">
        <v>64</v>
      </c>
    </row>
    <row r="120" spans="1:6" ht="15" x14ac:dyDescent="0.25">
      <c r="A120" s="73"/>
      <c r="B120" s="73"/>
      <c r="C120" s="76" t="s">
        <v>65</v>
      </c>
      <c r="D120" s="77" t="s">
        <v>66</v>
      </c>
      <c r="E120" s="76" t="s">
        <v>67</v>
      </c>
      <c r="F120" s="77" t="s">
        <v>68</v>
      </c>
    </row>
    <row r="121" spans="1:6" ht="18.75" x14ac:dyDescent="0.3">
      <c r="A121" s="78" t="s">
        <v>69</v>
      </c>
      <c r="B121" s="73"/>
      <c r="C121" s="87">
        <f>C112-C103</f>
        <v>11322.034692685223</v>
      </c>
      <c r="D121" s="88">
        <f t="shared" ref="D121:E121" si="2">D112-D103</f>
        <v>7316.8462646156822</v>
      </c>
      <c r="E121" s="87">
        <f t="shared" si="2"/>
        <v>6221.4740194487567</v>
      </c>
      <c r="F121" s="81">
        <f>SUM(C121:E121)</f>
        <v>24860.354976749662</v>
      </c>
    </row>
    <row r="122" spans="1:6" ht="15" x14ac:dyDescent="0.25">
      <c r="A122" s="73"/>
      <c r="B122" s="73"/>
      <c r="C122" s="89"/>
      <c r="D122" s="90"/>
      <c r="E122" s="89"/>
      <c r="F122" s="34"/>
    </row>
    <row r="123" spans="1:6" ht="18.75" x14ac:dyDescent="0.3">
      <c r="A123" s="78" t="s">
        <v>70</v>
      </c>
      <c r="B123" s="83"/>
      <c r="C123" s="91">
        <f>C114-C105</f>
        <v>15839.536793478257</v>
      </c>
      <c r="D123" s="92">
        <f t="shared" ref="D123:E123" si="3">D114-D105</f>
        <v>10856.401385869565</v>
      </c>
      <c r="E123" s="91">
        <f t="shared" si="3"/>
        <v>9404.2214999999997</v>
      </c>
      <c r="F123" s="86">
        <f>SUM(C123:E123)</f>
        <v>36100.159679347824</v>
      </c>
    </row>
  </sheetData>
  <mergeCells count="33">
    <mergeCell ref="A26:B26"/>
    <mergeCell ref="A1:H4"/>
    <mergeCell ref="A8:B9"/>
    <mergeCell ref="A10:B10"/>
    <mergeCell ref="A12:B12"/>
    <mergeCell ref="A15:B16"/>
    <mergeCell ref="A17:B17"/>
    <mergeCell ref="A18:B18"/>
    <mergeCell ref="A19:B19"/>
    <mergeCell ref="A22:B23"/>
    <mergeCell ref="A24:B24"/>
    <mergeCell ref="A25:B25"/>
    <mergeCell ref="A55:B55"/>
    <mergeCell ref="A35:B36"/>
    <mergeCell ref="A37:B37"/>
    <mergeCell ref="A39:B39"/>
    <mergeCell ref="P39:R39"/>
    <mergeCell ref="A41:B41"/>
    <mergeCell ref="A44:B45"/>
    <mergeCell ref="A46:B46"/>
    <mergeCell ref="A47:B47"/>
    <mergeCell ref="A48:B48"/>
    <mergeCell ref="A50:B50"/>
    <mergeCell ref="A53:B54"/>
    <mergeCell ref="A98:F100"/>
    <mergeCell ref="A107:F109"/>
    <mergeCell ref="A116:F118"/>
    <mergeCell ref="A56:B56"/>
    <mergeCell ref="A57:B57"/>
    <mergeCell ref="A59:B59"/>
    <mergeCell ref="A71:F73"/>
    <mergeCell ref="A80:F82"/>
    <mergeCell ref="A89:F91"/>
  </mergeCells>
  <pageMargins left="0.98425196850393704" right="0.94488188976377963" top="1.1811023622047245" bottom="0.78740157480314965" header="0.59055118110236227" footer="0.39370078740157483"/>
  <pageSetup paperSize="9" orientation="portrait" r:id="rId1"/>
  <headerFooter scaleWithDoc="0">
    <oddHeader>&amp;L&amp;K03+000 &amp;C&amp;K03+000  &amp;R&amp;K03+000&amp;P / &amp;N</oddHeader>
    <oddFooter>&amp;L&amp;8&amp;K03+000 &amp;C&amp;8&amp;K03+000 &amp;R&amp;8&amp;K03+000&amp;D
&amp;F / 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Diagramme</vt:lpstr>
      </vt:variant>
      <vt:variant>
        <vt:i4>8</vt:i4>
      </vt:variant>
    </vt:vector>
  </HeadingPairs>
  <TitlesOfParts>
    <vt:vector size="13" baseType="lpstr">
      <vt:lpstr>Stromverbrauch</vt:lpstr>
      <vt:lpstr>ewz.basis</vt:lpstr>
      <vt:lpstr>ewz.ökopower</vt:lpstr>
      <vt:lpstr>ewz.wassertop</vt:lpstr>
      <vt:lpstr>ewz.solartop</vt:lpstr>
      <vt:lpstr>ewz.basis Diagramm</vt:lpstr>
      <vt:lpstr>ewz.ökopower Diagramm</vt:lpstr>
      <vt:lpstr>ewz.wassertop Diagramm</vt:lpstr>
      <vt:lpstr>ewz.solartop Diagramm</vt:lpstr>
      <vt:lpstr>Kostenvergleich</vt:lpstr>
      <vt:lpstr>Strom sparen</vt:lpstr>
      <vt:lpstr>Einmalige Kosten</vt:lpstr>
      <vt:lpstr>Break-Even-Analyse</vt:lpstr>
    </vt:vector>
  </TitlesOfParts>
  <Company>Erdgas Zürich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Sousa Ines</dc:creator>
  <cp:lastModifiedBy>SP / Gioia Stiz / stg</cp:lastModifiedBy>
  <cp:lastPrinted>2015-03-17T13:16:36Z</cp:lastPrinted>
  <dcterms:created xsi:type="dcterms:W3CDTF">2015-03-16T12:03:42Z</dcterms:created>
  <dcterms:modified xsi:type="dcterms:W3CDTF">2015-03-17T13:18:09Z</dcterms:modified>
</cp:coreProperties>
</file>